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Lisa Satayut\Desktop\Recharter Page\"/>
    </mc:Choice>
  </mc:AlternateContent>
  <xr:revisionPtr revIDLastSave="0" documentId="8_{8CC6B2A2-4F72-4174-A610-4117B8823ECF}" xr6:coauthVersionLast="47" xr6:coauthVersionMax="47" xr10:uidLastSave="{00000000-0000-0000-0000-000000000000}"/>
  <bookViews>
    <workbookView xWindow="1416" yWindow="1716" windowWidth="21624" windowHeight="11244" activeTab="2" xr2:uid="{00000000-000D-0000-FFFF-FFFF00000000}"/>
  </bookViews>
  <sheets>
    <sheet name="Setup &amp; Instructions" sheetId="2" r:id="rId1"/>
    <sheet name="Data Entry" sheetId="1" r:id="rId2"/>
    <sheet name="Scorecard" sheetId="4" r:id="rId3"/>
  </sheets>
  <definedNames>
    <definedName name="adds">'Data Entry'!$L$26</definedName>
    <definedName name="beascout_flag">'Data Entry'!$N$21</definedName>
    <definedName name="bronze_met">'Data Entry'!$N$22</definedName>
    <definedName name="build_bronze_score">'Data Entry'!$K$21</definedName>
    <definedName name="build_gold_points">'Data Entry'!$M$21</definedName>
    <definedName name="build_gold_score">'Data Entry'!$J$18</definedName>
    <definedName name="build_silver_points">'Data Entry'!$L$21</definedName>
    <definedName name="build_silver_score">'Data Entry'!$I$18</definedName>
    <definedName name="DistrictName">'Setup &amp; Instructions'!$C$7</definedName>
    <definedName name="drops">'Data Entry'!$L$24</definedName>
    <definedName name="gain">'Data Entry'!$L$27</definedName>
    <definedName name="gold_auto_score">'Data Entry'!$M$23</definedName>
    <definedName name="num_scouts">'Data Entry'!$D$30</definedName>
    <definedName name="_xlnm.Print_Titles" localSheetId="1">'Data Entry'!$1:$4</definedName>
    <definedName name="RECHARTER_CALC">'Data Entry'!$M$38</definedName>
    <definedName name="recruitment_event">'Data Entry'!$D$21</definedName>
    <definedName name="silver_auto_score">'Data Entry'!$L$23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 r="C30" i="1"/>
  <c r="C22" i="1"/>
  <c r="L27" i="1"/>
  <c r="F31" i="1"/>
  <c r="K24" i="1" s="1"/>
  <c r="E28" i="1" l="1"/>
  <c r="E24" i="1"/>
  <c r="C34" i="1" l="1"/>
  <c r="F29" i="1" l="1"/>
  <c r="F36" i="1" s="1"/>
  <c r="F34" i="1" l="1"/>
  <c r="C35" i="1"/>
  <c r="C24" i="1"/>
  <c r="F38" i="1" l="1"/>
  <c r="C29" i="1"/>
  <c r="F28" i="1"/>
  <c r="C28" i="1"/>
  <c r="F24" i="1"/>
  <c r="F114" i="1"/>
  <c r="F43" i="1"/>
  <c r="M38" i="1" l="1"/>
  <c r="N22" i="1"/>
  <c r="L26" i="1"/>
  <c r="L24" i="1"/>
  <c r="F50" i="1"/>
  <c r="K50" i="1" s="1"/>
  <c r="K26" i="1"/>
  <c r="K44" i="1"/>
  <c r="F111" i="1"/>
  <c r="F113" i="1" s="1"/>
  <c r="F67" i="1"/>
  <c r="K67" i="1" s="1"/>
  <c r="F116" i="1"/>
  <c r="F106" i="1"/>
  <c r="K103" i="1" s="1"/>
  <c r="F95" i="1"/>
  <c r="K83" i="1" s="1"/>
  <c r="F77" i="1"/>
  <c r="K73" i="1" s="1"/>
  <c r="F62" i="1"/>
  <c r="K55" i="1" s="1"/>
  <c r="A1" i="4"/>
  <c r="A2" i="1"/>
  <c r="F15" i="1"/>
  <c r="K10" i="1" s="1"/>
  <c r="K112" i="1" l="1"/>
  <c r="J108" i="1" s="1"/>
  <c r="K19" i="4" s="1"/>
  <c r="K37" i="1"/>
  <c r="J18" i="1"/>
  <c r="H64" i="1"/>
  <c r="I14" i="4" s="1"/>
  <c r="J64" i="1"/>
  <c r="K14" i="4" s="1"/>
  <c r="I64" i="1"/>
  <c r="J14" i="4" s="1"/>
  <c r="H52" i="1"/>
  <c r="I13" i="4" s="1"/>
  <c r="J52" i="1"/>
  <c r="K13" i="4" s="1"/>
  <c r="I52" i="1"/>
  <c r="J13" i="4" s="1"/>
  <c r="J6" i="1"/>
  <c r="K6" i="4" s="1"/>
  <c r="H6" i="1"/>
  <c r="I6" i="1"/>
  <c r="H79" i="1"/>
  <c r="I16" i="4" s="1"/>
  <c r="J79" i="1"/>
  <c r="K16" i="4" s="1"/>
  <c r="I79" i="1"/>
  <c r="J16" i="4" s="1"/>
  <c r="I69" i="1"/>
  <c r="J15" i="4" s="1"/>
  <c r="J69" i="1"/>
  <c r="K15" i="4" s="1"/>
  <c r="H69" i="1"/>
  <c r="I15" i="4" s="1"/>
  <c r="J40" i="1"/>
  <c r="K10" i="4" s="1"/>
  <c r="H40" i="1"/>
  <c r="I10" i="4" s="1"/>
  <c r="I40" i="1"/>
  <c r="J10" i="4" s="1"/>
  <c r="J47" i="1"/>
  <c r="K12" i="4" s="1"/>
  <c r="I47" i="1"/>
  <c r="J12" i="4" s="1"/>
  <c r="H47" i="1"/>
  <c r="I12" i="4" s="1"/>
  <c r="J98" i="1"/>
  <c r="K18" i="4" s="1"/>
  <c r="I98" i="1"/>
  <c r="J18" i="4" s="1"/>
  <c r="H98" i="1"/>
  <c r="I18" i="4" s="1"/>
  <c r="I108" i="1" l="1"/>
  <c r="J19" i="4" s="1"/>
  <c r="H108" i="1"/>
  <c r="I19" i="4" s="1"/>
  <c r="J33" i="1"/>
  <c r="K9" i="4" s="1"/>
  <c r="I33" i="1"/>
  <c r="J9" i="4" s="1"/>
  <c r="H33" i="1"/>
  <c r="I9" i="4" s="1"/>
  <c r="I18" i="1"/>
  <c r="J121" i="1"/>
  <c r="K8" i="4"/>
  <c r="J6" i="4"/>
  <c r="I6" i="4"/>
  <c r="I121" i="1" l="1"/>
  <c r="J119" i="1"/>
  <c r="H18" i="1"/>
  <c r="I8" i="4" s="1"/>
  <c r="I119" i="1"/>
  <c r="J8" i="4"/>
  <c r="H121" i="1" l="1"/>
  <c r="J122" i="1" s="1"/>
  <c r="H23" i="4" s="1"/>
  <c r="H119" i="1"/>
  <c r="J120" i="1" s="1"/>
  <c r="D120" i="1" l="1"/>
  <c r="A122" i="1" s="1"/>
  <c r="H21" i="4"/>
  <c r="A121" i="1" l="1"/>
  <c r="A22" i="4"/>
  <c r="A21" i="4"/>
  <c r="A120" i="1"/>
  <c r="A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Rick Hillenbrand</author>
  </authors>
  <commentList>
    <comment ref="F15" authorId="0" shapeId="0" xr:uid="{00000000-0006-0000-0100-000001000000}">
      <text>
        <r>
          <rPr>
            <sz val="8"/>
            <color rgb="FF000000"/>
            <rFont val="Tahoma"/>
            <family val="2"/>
          </rPr>
          <t xml:space="preserve">Counts number of cells with committee meeting dates entered.
</t>
        </r>
      </text>
    </comment>
    <comment ref="D26" authorId="1" shapeId="0" xr:uid="{766B9BD1-599F-4A4E-B5E4-4CEC45ED4E39}">
      <text>
        <r>
          <rPr>
            <sz val="8"/>
            <color rgb="FF000000"/>
            <rFont val="Tahoma"/>
            <family val="2"/>
          </rPr>
          <t>Do NOT include AoL transfers.</t>
        </r>
      </text>
    </comment>
    <comment ref="F29" authorId="0" shapeId="0" xr:uid="{00000000-0006-0000-0100-000002000000}">
      <text>
        <r>
          <rPr>
            <sz val="8"/>
            <color rgb="FF000000"/>
            <rFont val="Tahoma"/>
            <family val="2"/>
          </rPr>
          <t>Note: This value may be different than on your recharter package depending on how you handled AoLs joining the unit.
=A-B+D+E+F</t>
        </r>
      </text>
    </comment>
    <comment ref="F31" authorId="0" shapeId="0" xr:uid="{00000000-0006-0000-0100-000003000000}">
      <text>
        <r>
          <rPr>
            <sz val="8"/>
            <color rgb="FF000000"/>
            <rFont val="Tahoma"/>
            <family val="2"/>
          </rPr>
          <t>=H/A-1</t>
        </r>
      </text>
    </comment>
    <comment ref="F38" authorId="0" shapeId="0" xr:uid="{00000000-0006-0000-0100-000005000000}">
      <text>
        <r>
          <rPr>
            <sz val="8"/>
            <color rgb="FF000000"/>
            <rFont val="Tahoma"/>
            <family val="2"/>
          </rPr>
          <t>Number reregistered divided by number eligible to reregister.  (Applications submitted with recharter will be subracted here)
=(H-J)/K (not to exceed 100%)</t>
        </r>
      </text>
    </comment>
    <comment ref="F43" authorId="0" shapeId="0" xr:uid="{00000000-0006-0000-0100-000006000000}">
      <text>
        <r>
          <rPr>
            <sz val="8"/>
            <color rgb="FF000000"/>
            <rFont val="Tahoma"/>
            <family val="2"/>
          </rPr>
          <t>Same value as E.</t>
        </r>
      </text>
    </comment>
    <comment ref="F50" authorId="0" shapeId="0" xr:uid="{00000000-0006-0000-0100-000008000000}">
      <text>
        <r>
          <rPr>
            <sz val="8"/>
            <color rgb="FF000000"/>
            <rFont val="Tahoma"/>
            <family val="2"/>
          </rPr>
          <t>Count of Scouts advancing divided by current membership.</t>
        </r>
      </text>
    </comment>
    <comment ref="F62" authorId="0" shapeId="0" xr:uid="{00000000-0006-0000-0100-000009000000}">
      <text>
        <r>
          <rPr>
            <sz val="8"/>
            <color rgb="FF000000"/>
            <rFont val="Tahoma"/>
            <family val="2"/>
          </rPr>
          <t>Counts number of cells with overnight campout dates entered.</t>
        </r>
      </text>
    </comment>
    <comment ref="F67" authorId="0" shapeId="0" xr:uid="{00000000-0006-0000-0100-00000A000000}">
      <text>
        <r>
          <rPr>
            <sz val="8"/>
            <color rgb="FF000000"/>
            <rFont val="Tahoma"/>
            <family val="2"/>
          </rPr>
          <t>Number of Scouts camping divided by number registered on June 30.</t>
        </r>
      </text>
    </comment>
    <comment ref="F77" authorId="0" shapeId="0" xr:uid="{00000000-0006-0000-0100-00000B000000}">
      <text>
        <r>
          <rPr>
            <sz val="8"/>
            <color rgb="FF000000"/>
            <rFont val="Tahoma"/>
            <family val="2"/>
          </rPr>
          <t>Counts number of cells with service project dates entered.</t>
        </r>
      </text>
    </comment>
    <comment ref="F95" authorId="0" shapeId="0" xr:uid="{00000000-0006-0000-0100-00000C000000}">
      <text>
        <r>
          <rPr>
            <sz val="8"/>
            <color rgb="FF000000"/>
            <rFont val="Tahoma"/>
            <family val="2"/>
          </rPr>
          <t>Counts number of cells with PLC meeting dates entered.</t>
        </r>
      </text>
    </comment>
    <comment ref="F106" authorId="0" shapeId="0" xr:uid="{00000000-0006-0000-0100-00000D000000}">
      <text>
        <r>
          <rPr>
            <sz val="8"/>
            <color rgb="FF000000"/>
            <rFont val="Tahoma"/>
            <family val="2"/>
          </rPr>
          <t>Counts number of cells with courts of honor dates entered.</t>
        </r>
      </text>
    </comment>
    <comment ref="F111" authorId="0" shapeId="0" xr:uid="{00000000-0006-0000-0100-00000E000000}">
      <text>
        <r>
          <rPr>
            <sz val="8"/>
            <color rgb="FF000000"/>
            <rFont val="Tahoma"/>
            <family val="2"/>
          </rPr>
          <t>Same value as Cell D100.</t>
        </r>
      </text>
    </comment>
    <comment ref="F113" authorId="0" shapeId="0" xr:uid="{00000000-0006-0000-0100-00000F000000}">
      <text>
        <r>
          <rPr>
            <sz val="8"/>
            <color rgb="FF000000"/>
            <rFont val="Tahoma"/>
            <family val="2"/>
          </rPr>
          <t>Number of assistant Scoutmasters completing training divided by total number of assistant Scoutmasters.</t>
        </r>
      </text>
    </comment>
    <comment ref="F114" authorId="0" shapeId="0" xr:uid="{00000000-0006-0000-0100-000010000000}">
      <text>
        <r>
          <rPr>
            <sz val="8"/>
            <color rgb="FF000000"/>
            <rFont val="Tahoma"/>
            <family val="2"/>
          </rPr>
          <t>Same value as Cell D101.</t>
        </r>
      </text>
    </comment>
    <comment ref="F116" authorId="0" shapeId="0" xr:uid="{00000000-0006-0000-0100-000011000000}">
      <text>
        <r>
          <rPr>
            <sz val="8"/>
            <color rgb="FF000000"/>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<sst xmlns="http://schemas.openxmlformats.org/spreadsheetml/2006/main" count="223" uniqueCount="205">
  <si>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</si>
  <si>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</si>
  <si>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</si>
  <si>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</si>
  <si>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</si>
  <si>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</si>
  <si>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</si>
  <si>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</si>
  <si>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</si>
  <si>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</si>
  <si>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</si>
  <si>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</si>
  <si>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</si>
  <si>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</si>
  <si>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</si>
  <si>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rPr>
        <i/>
        <sz val="10"/>
        <color indexed="8"/>
        <rFont val="Calibri"/>
        <family val="2"/>
      </rPr>
      <t xml:space="preserve"> Percent:</t>
    </r>
    <r>
      <rPr>
        <sz val="10"/>
        <color indexed="8"/>
        <rFont val="Calibri"/>
        <family val="2"/>
      </rPr>
      <t xml:space="preserve"> Camping rate</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</si>
  <si>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</si>
  <si>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</si>
  <si>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</si>
  <si>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</si>
  <si>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</si>
  <si>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</si>
  <si>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</si>
  <si>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</si>
  <si>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</si>
  <si>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</si>
  <si>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t>Enter District Name</t>
  </si>
  <si>
    <t>Enter Report Date</t>
  </si>
  <si>
    <r>
      <rPr>
        <b/>
        <sz val="10"/>
        <rFont val="Calibri"/>
        <family val="2"/>
      </rPr>
      <t>Bronze:</t>
    </r>
    <r>
      <rPr>
        <sz val="10"/>
        <rFont val="Calibri"/>
        <family val="2"/>
      </rPr>
      <t xml:space="preserve">  Earn at least 525 points by earning points in at least 7 objectives.</t>
    </r>
  </si>
  <si>
    <t xml:space="preserve">    Total points earned:         </t>
  </si>
  <si>
    <t xml:space="preserve">    No. of objectives with points:         </t>
  </si>
  <si>
    <t>Item</t>
  </si>
  <si>
    <t>Bronze Level</t>
  </si>
  <si>
    <t>Silver Level</t>
  </si>
  <si>
    <t>Gold Level</t>
  </si>
  <si>
    <t>Total Points:</t>
  </si>
  <si>
    <t>#1</t>
  </si>
  <si>
    <t xml:space="preserve"> </t>
  </si>
  <si>
    <t>#2</t>
  </si>
  <si>
    <t>#3</t>
  </si>
  <si>
    <t>#4</t>
  </si>
  <si>
    <t>#5</t>
  </si>
  <si>
    <t>#6</t>
  </si>
  <si>
    <t>#7</t>
  </si>
  <si>
    <t>#8</t>
  </si>
  <si>
    <t>#9</t>
  </si>
  <si>
    <t>Volunteer Leadership</t>
  </si>
  <si>
    <t>#10</t>
  </si>
  <si>
    <t>#11</t>
  </si>
  <si>
    <t>o</t>
  </si>
  <si>
    <r>
      <rPr>
        <b/>
        <sz val="10"/>
        <rFont val="Arial"/>
        <family val="2"/>
      </rPr>
      <t>Bronze:</t>
    </r>
    <r>
      <rPr>
        <sz val="10"/>
        <rFont val="Arial"/>
        <family val="2"/>
      </rPr>
      <t xml:space="preserve">  Earn at least 525 points by earning points in at least 7 objectives.</t>
    </r>
  </si>
  <si>
    <t xml:space="preserve">                                 Total points earned:         </t>
  </si>
  <si>
    <t xml:space="preserve">                                 No. of objectives with points:         </t>
  </si>
  <si>
    <t>We certify that these requirements have been completed:</t>
  </si>
  <si>
    <t>Date _____________________</t>
  </si>
  <si>
    <t>Committee chair _______________________________________________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</si>
  <si>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</si>
  <si>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</si>
  <si>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</si>
  <si>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</si>
  <si>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r>
      <rPr>
        <b/>
        <sz val="10"/>
        <rFont val="Arial"/>
        <family val="2"/>
      </rPr>
      <t>Silver:</t>
    </r>
    <r>
      <rPr>
        <sz val="10"/>
        <rFont val="Arial"/>
        <family val="2"/>
      </rPr>
      <t xml:space="preserve">  Earn at least 750 points by earning points in at least 8 objectives.</t>
    </r>
  </si>
  <si>
    <r>
      <rPr>
        <b/>
        <sz val="10"/>
        <rFont val="Calibri"/>
        <family val="2"/>
      </rPr>
      <t>Silver:</t>
    </r>
    <r>
      <rPr>
        <sz val="10"/>
        <rFont val="Calibri"/>
        <family val="2"/>
      </rPr>
      <t xml:space="preserve">  Earn at least 750 points by earning points in at least 8 objectives.</t>
    </r>
  </si>
  <si>
    <r>
      <t xml:space="preserve"> </t>
    </r>
    <r>
      <rPr>
        <i/>
        <sz val="10"/>
        <color indexed="8"/>
        <rFont val="Calibri"/>
        <family val="2"/>
      </rPr>
      <t>Date:</t>
    </r>
    <r>
      <rPr>
        <sz val="10"/>
        <color indexed="8"/>
        <rFont val="Calibri"/>
        <family val="2"/>
      </rPr>
      <t xml:space="preserve"> Troop committee adopted annual program plan &amp; budget</t>
    </r>
  </si>
  <si>
    <r>
      <t xml:space="preserve"> </t>
    </r>
    <r>
      <rPr>
        <i/>
        <sz val="10"/>
        <color indexed="8"/>
        <rFont val="Calibri"/>
        <family val="2"/>
      </rPr>
      <t>Date:</t>
    </r>
    <r>
      <rPr>
        <sz val="10"/>
        <color indexed="8"/>
        <rFont val="Calibri"/>
        <family val="2"/>
      </rPr>
      <t xml:space="preserve"> Planning meeting involving youth leaders</t>
    </r>
  </si>
  <si>
    <r>
      <rPr>
        <i/>
        <sz val="10"/>
        <color indexed="8"/>
        <rFont val="Calibri"/>
        <family val="2"/>
      </rPr>
      <t xml:space="preserve"> Count:</t>
    </r>
    <r>
      <rPr>
        <sz val="10"/>
        <color indexed="8"/>
        <rFont val="Calibri"/>
        <family val="2"/>
      </rPr>
      <t xml:space="preserve"> Number of Scouts from the troop serving as den chiefs</t>
    </r>
  </si>
  <si>
    <r>
      <rPr>
        <i/>
        <sz val="10"/>
        <color indexed="8"/>
        <rFont val="Calibri"/>
        <family val="2"/>
      </rPr>
      <t xml:space="preserve">    Date:</t>
    </r>
    <r>
      <rPr>
        <sz val="10"/>
        <color indexed="8"/>
        <rFont val="Calibri"/>
        <family val="2"/>
      </rPr>
      <t xml:space="preserve"> Overnight campout #1</t>
    </r>
  </si>
  <si>
    <r>
      <rPr>
        <i/>
        <sz val="10"/>
        <color indexed="8"/>
        <rFont val="Calibri"/>
        <family val="2"/>
      </rPr>
      <t xml:space="preserve">    Date:</t>
    </r>
    <r>
      <rPr>
        <sz val="10"/>
        <color indexed="8"/>
        <rFont val="Calibri"/>
        <family val="2"/>
      </rPr>
      <t xml:space="preserve"> Overnight campout #2</t>
    </r>
    <r>
      <rPr>
        <sz val="11"/>
        <color indexed="8"/>
        <rFont val="Calibri"/>
        <family val="2"/>
      </rPr>
      <t/>
    </r>
  </si>
  <si>
    <r>
      <rPr>
        <i/>
        <sz val="10"/>
        <color indexed="8"/>
        <rFont val="Calibri"/>
        <family val="2"/>
      </rPr>
      <t xml:space="preserve">    Date:</t>
    </r>
    <r>
      <rPr>
        <sz val="10"/>
        <color indexed="8"/>
        <rFont val="Calibri"/>
        <family val="2"/>
      </rPr>
      <t xml:space="preserve"> Overnight campout #3</t>
    </r>
    <r>
      <rPr>
        <sz val="11"/>
        <color indexed="8"/>
        <rFont val="Calibri"/>
        <family val="2"/>
      </rPr>
      <t/>
    </r>
  </si>
  <si>
    <r>
      <rPr>
        <i/>
        <sz val="10"/>
        <color indexed="8"/>
        <rFont val="Calibri"/>
        <family val="2"/>
      </rPr>
      <t xml:space="preserve">    Date:</t>
    </r>
    <r>
      <rPr>
        <sz val="10"/>
        <color indexed="8"/>
        <rFont val="Calibri"/>
        <family val="2"/>
      </rPr>
      <t xml:space="preserve"> Overnight campout #4</t>
    </r>
    <r>
      <rPr>
        <sz val="11"/>
        <color indexed="8"/>
        <rFont val="Calibri"/>
        <family val="2"/>
      </rPr>
      <t/>
    </r>
  </si>
  <si>
    <r>
      <rPr>
        <i/>
        <sz val="10"/>
        <color indexed="8"/>
        <rFont val="Calibri"/>
        <family val="2"/>
      </rPr>
      <t xml:space="preserve">    Date:</t>
    </r>
    <r>
      <rPr>
        <sz val="10"/>
        <color indexed="8"/>
        <rFont val="Calibri"/>
        <family val="2"/>
      </rPr>
      <t xml:space="preserve"> Overnight campout #5</t>
    </r>
    <r>
      <rPr>
        <sz val="11"/>
        <color indexed="8"/>
        <rFont val="Calibri"/>
        <family val="2"/>
      </rPr>
      <t/>
    </r>
  </si>
  <si>
    <r>
      <rPr>
        <i/>
        <sz val="10"/>
        <color indexed="8"/>
        <rFont val="Calibri"/>
        <family val="2"/>
      </rPr>
      <t xml:space="preserve">    Date:</t>
    </r>
    <r>
      <rPr>
        <sz val="10"/>
        <color indexed="8"/>
        <rFont val="Calibri"/>
        <family val="2"/>
      </rPr>
      <t xml:space="preserve"> Overnight campout #6</t>
    </r>
    <r>
      <rPr>
        <sz val="11"/>
        <color indexed="8"/>
        <rFont val="Calibri"/>
        <family val="2"/>
      </rPr>
      <t/>
    </r>
  </si>
  <si>
    <r>
      <rPr>
        <i/>
        <sz val="10"/>
        <color indexed="8"/>
        <rFont val="Calibri"/>
        <family val="2"/>
      </rPr>
      <t xml:space="preserve">    Date:</t>
    </r>
    <r>
      <rPr>
        <sz val="10"/>
        <color indexed="8"/>
        <rFont val="Calibri"/>
        <family val="2"/>
      </rPr>
      <t xml:space="preserve"> Overnight campout #7</t>
    </r>
    <r>
      <rPr>
        <sz val="11"/>
        <color indexed="8"/>
        <rFont val="Calibri"/>
        <family val="2"/>
      </rPr>
      <t/>
    </r>
  </si>
  <si>
    <r>
      <rPr>
        <i/>
        <sz val="10"/>
        <color indexed="8"/>
        <rFont val="Calibri"/>
        <family val="2"/>
      </rPr>
      <t xml:space="preserve">    Date:</t>
    </r>
    <r>
      <rPr>
        <sz val="10"/>
        <color indexed="8"/>
        <rFont val="Calibri"/>
        <family val="2"/>
      </rPr>
      <t xml:space="preserve"> Overnight campout #8</t>
    </r>
    <r>
      <rPr>
        <sz val="11"/>
        <color indexed="8"/>
        <rFont val="Calibri"/>
        <family val="2"/>
      </rPr>
      <t/>
    </r>
  </si>
  <si>
    <r>
      <rPr>
        <i/>
        <sz val="10"/>
        <color indexed="8"/>
        <rFont val="Calibri"/>
        <family val="2"/>
      </rPr>
      <t xml:space="preserve">    Date:</t>
    </r>
    <r>
      <rPr>
        <sz val="10"/>
        <color indexed="8"/>
        <rFont val="Calibri"/>
        <family val="2"/>
      </rPr>
      <t xml:space="preserve"> Overnight campout #9</t>
    </r>
    <r>
      <rPr>
        <sz val="11"/>
        <color indexed="8"/>
        <rFont val="Calibri"/>
        <family val="2"/>
      </rPr>
      <t/>
    </r>
  </si>
  <si>
    <r>
      <t xml:space="preserve"> </t>
    </r>
    <r>
      <rPr>
        <i/>
        <sz val="10"/>
        <color indexed="8"/>
        <rFont val="Calibri"/>
        <family val="2"/>
      </rPr>
      <t>Count:</t>
    </r>
    <r>
      <rPr>
        <sz val="10"/>
        <color indexed="8"/>
        <rFont val="Calibri"/>
        <family val="2"/>
      </rPr>
      <t xml:space="preserve"> Total number of overnight campouts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</si>
  <si>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</si>
  <si>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r>
      <rPr>
        <sz val="11"/>
        <color indexed="8"/>
        <rFont val="Calibri"/>
        <family val="2"/>
      </rPr>
      <t/>
    </r>
  </si>
  <si>
    <r>
      <rPr>
        <i/>
        <sz val="10"/>
        <color indexed="8"/>
        <rFont val="Calibri"/>
        <family val="2"/>
      </rPr>
      <t xml:space="preserve">    Date: </t>
    </r>
    <r>
      <rPr>
        <sz val="10"/>
        <color indexed="8"/>
        <rFont val="Calibri"/>
        <family val="2"/>
      </rPr>
      <t>Service project #5</t>
    </r>
    <r>
      <rPr>
        <sz val="11"/>
        <color indexed="8"/>
        <rFont val="Calibri"/>
        <family val="2"/>
      </rPr>
      <t/>
    </r>
  </si>
  <si>
    <r>
      <t xml:space="preserve"> </t>
    </r>
    <r>
      <rPr>
        <i/>
        <sz val="10"/>
        <color indexed="8"/>
        <rFont val="Calibri"/>
        <family val="2"/>
      </rPr>
      <t>Yes/No:</t>
    </r>
    <r>
      <rPr>
        <sz val="10"/>
        <color indexed="8"/>
        <rFont val="Calibri"/>
        <family val="2"/>
      </rPr>
      <t xml:space="preserve"> Troop has a senior patrol leader</t>
    </r>
  </si>
  <si>
    <r>
      <t xml:space="preserve"> </t>
    </r>
    <r>
      <rPr>
        <i/>
        <sz val="10"/>
        <color indexed="8"/>
        <rFont val="Calibri"/>
        <family val="2"/>
      </rPr>
      <t>Yes/No:</t>
    </r>
    <r>
      <rPr>
        <sz val="10"/>
        <color indexed="8"/>
        <rFont val="Calibri"/>
        <family val="2"/>
      </rPr>
      <t xml:space="preserve"> Troop conducts patrol leader training</t>
    </r>
  </si>
  <si>
    <r>
      <rPr>
        <i/>
        <sz val="10"/>
        <color indexed="8"/>
        <rFont val="Calibri"/>
        <family val="2"/>
      </rPr>
      <t xml:space="preserve"> Count:</t>
    </r>
    <r>
      <rPr>
        <sz val="10"/>
        <color indexed="8"/>
        <rFont val="Calibri"/>
        <family val="2"/>
      </rPr>
      <t xml:space="preserve"> Number of patrols</t>
    </r>
  </si>
  <si>
    <r>
      <rPr>
        <i/>
        <sz val="10"/>
        <color indexed="8"/>
        <rFont val="Calibri"/>
        <family val="2"/>
      </rPr>
      <t xml:space="preserve"> Count:</t>
    </r>
    <r>
      <rPr>
        <sz val="10"/>
        <color indexed="8"/>
        <rFont val="Calibri"/>
        <family val="2"/>
      </rPr>
      <t xml:space="preserve"> Number of patrols with patrol leaders</t>
    </r>
  </si>
  <si>
    <r>
      <rPr>
        <i/>
        <sz val="10"/>
        <color indexed="8"/>
        <rFont val="Calibri"/>
        <family val="2"/>
      </rPr>
      <t xml:space="preserve">    Date:</t>
    </r>
    <r>
      <rPr>
        <sz val="10"/>
        <color indexed="8"/>
        <rFont val="Calibri"/>
        <family val="2"/>
      </rPr>
      <t xml:space="preserve"> Patrol leaders' council meeting #1</t>
    </r>
  </si>
  <si>
    <r>
      <rPr>
        <i/>
        <sz val="10"/>
        <color indexed="8"/>
        <rFont val="Calibri"/>
        <family val="2"/>
      </rPr>
      <t xml:space="preserve">    Date:</t>
    </r>
    <r>
      <rPr>
        <sz val="10"/>
        <color indexed="8"/>
        <rFont val="Calibri"/>
        <family val="2"/>
      </rPr>
      <t xml:space="preserve"> Patrol leaders' council meeting #2</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</si>
  <si>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#3</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</si>
  <si>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#4</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</si>
  <si>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#5</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</si>
  <si>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#6</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</si>
  <si>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#7</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</si>
  <si>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#8</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</si>
  <si>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#9</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</si>
  <si>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#10</t>
    </r>
    <r>
      <rPr>
        <sz val="11"/>
        <color indexed="8"/>
        <rFont val="Calibri"/>
        <family val="2"/>
      </rPr>
      <t/>
    </r>
  </si>
  <si>
    <r>
      <t xml:space="preserve"> </t>
    </r>
    <r>
      <rPr>
        <i/>
        <sz val="10"/>
        <color indexed="8"/>
        <rFont val="Calibri"/>
        <family val="2"/>
      </rPr>
      <t>Count:</t>
    </r>
    <r>
      <rPr>
        <sz val="10"/>
        <color indexed="8"/>
        <rFont val="Calibri"/>
        <family val="2"/>
      </rPr>
      <t xml:space="preserve"> Total number of patrol leaders' council meetings</t>
    </r>
  </si>
  <si>
    <r>
      <t xml:space="preserve"> </t>
    </r>
    <r>
      <rPr>
        <i/>
        <sz val="10"/>
        <color indexed="8"/>
        <rFont val="Calibri"/>
        <family val="2"/>
      </rPr>
      <t>Yes/No:</t>
    </r>
    <r>
      <rPr>
        <sz val="10"/>
        <color indexed="8"/>
        <rFont val="Calibri"/>
        <family val="2"/>
      </rPr>
      <t xml:space="preserve"> At least 1 Scout attended an advanced training course</t>
    </r>
  </si>
  <si>
    <r>
      <t xml:space="preserve"> </t>
    </r>
    <r>
      <rPr>
        <i/>
        <sz val="10"/>
        <color indexed="8"/>
        <rFont val="Calibri"/>
        <family val="2"/>
      </rPr>
      <t>Yes/No:</t>
    </r>
    <r>
      <rPr>
        <sz val="10"/>
        <color indexed="8"/>
        <rFont val="Calibri"/>
        <family val="2"/>
      </rPr>
      <t xml:space="preserve"> Registered Scoutmaster</t>
    </r>
  </si>
  <si>
    <r>
      <rPr>
        <i/>
        <sz val="10"/>
        <color indexed="8"/>
        <rFont val="Calibri"/>
        <family val="2"/>
      </rPr>
      <t xml:space="preserve">    Date:</t>
    </r>
    <r>
      <rPr>
        <sz val="10"/>
        <color indexed="8"/>
        <rFont val="Calibri"/>
        <family val="2"/>
      </rPr>
      <t xml:space="preserve"> Court of Honor #1</t>
    </r>
  </si>
  <si>
    <r>
      <rPr>
        <i/>
        <sz val="10"/>
        <color indexed="8"/>
        <rFont val="Calibri"/>
        <family val="2"/>
      </rPr>
      <t xml:space="preserve">    Date:</t>
    </r>
    <r>
      <rPr>
        <sz val="10"/>
        <color indexed="8"/>
        <rFont val="Calibri"/>
        <family val="2"/>
      </rPr>
      <t xml:space="preserve"> Court of Honor #2</t>
    </r>
    <r>
      <rPr>
        <sz val="11"/>
        <color indexed="8"/>
        <rFont val="Calibri"/>
        <family val="2"/>
      </rPr>
      <t/>
    </r>
  </si>
  <si>
    <r>
      <rPr>
        <i/>
        <sz val="10"/>
        <color indexed="8"/>
        <rFont val="Calibri"/>
        <family val="2"/>
      </rPr>
      <t xml:space="preserve">    Date:</t>
    </r>
    <r>
      <rPr>
        <sz val="10"/>
        <color indexed="8"/>
        <rFont val="Calibri"/>
        <family val="2"/>
      </rPr>
      <t xml:space="preserve"> Court of Honor #3</t>
    </r>
    <r>
      <rPr>
        <sz val="11"/>
        <color indexed="8"/>
        <rFont val="Calibri"/>
        <family val="2"/>
      </rPr>
      <t/>
    </r>
  </si>
  <si>
    <r>
      <rPr>
        <i/>
        <sz val="10"/>
        <color indexed="8"/>
        <rFont val="Calibri"/>
        <family val="2"/>
      </rPr>
      <t xml:space="preserve"> Count:</t>
    </r>
    <r>
      <rPr>
        <sz val="10"/>
        <color indexed="8"/>
        <rFont val="Calibri"/>
        <family val="2"/>
      </rPr>
      <t xml:space="preserve"> Number of courts of honor</t>
    </r>
  </si>
  <si>
    <r>
      <t xml:space="preserve"> Count: </t>
    </r>
    <r>
      <rPr>
        <sz val="10"/>
        <color indexed="8"/>
        <rFont val="Calibri"/>
        <family val="2"/>
      </rPr>
      <t>Number of committee members</t>
    </r>
  </si>
  <si>
    <r>
      <rPr>
        <i/>
        <sz val="10"/>
        <color indexed="8"/>
        <rFont val="Calibri"/>
        <family val="2"/>
      </rPr>
      <t xml:space="preserve"> Count:</t>
    </r>
    <r>
      <rPr>
        <sz val="10"/>
        <color indexed="8"/>
        <rFont val="Calibri"/>
        <family val="2"/>
      </rPr>
      <t xml:space="preserve"> Number assistant Scoutmasters</t>
    </r>
  </si>
  <si>
    <t>Enter Troop Number</t>
  </si>
  <si>
    <t>Enter Troop Information …</t>
  </si>
  <si>
    <t>Scoumaster ___________________________________________________</t>
  </si>
  <si>
    <t>Our troop has completed online rechartering by the deadline in order to maintain continuity of our program.</t>
  </si>
  <si>
    <r>
      <rPr>
        <i/>
        <sz val="10"/>
        <color indexed="8"/>
        <rFont val="Calibri"/>
        <family val="2"/>
      </rPr>
      <t xml:space="preserve"> Percent: </t>
    </r>
    <r>
      <rPr>
        <sz val="10"/>
        <color indexed="8"/>
        <rFont val="Calibri"/>
        <family val="2"/>
      </rPr>
      <t>Assistant Scoutmasters completing training</t>
    </r>
  </si>
  <si>
    <t>5.  Sheets are designed to be printed without additional formatting.</t>
  </si>
  <si>
    <t>This form should be turned in to your unit commissioner or the Scout service center as directed by your council.</t>
  </si>
  <si>
    <t>Charter Years and Calendar Years</t>
  </si>
  <si>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</si>
  <si>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Count: </t>
    </r>
    <r>
      <rPr>
        <sz val="10"/>
        <color indexed="8"/>
        <rFont val="Calibri"/>
        <family val="2"/>
      </rPr>
      <t>Youth eligible to reregister</t>
    </r>
  </si>
  <si>
    <r>
      <t xml:space="preserve"> Percent: </t>
    </r>
    <r>
      <rPr>
        <sz val="10"/>
        <color indexed="8"/>
        <rFont val="Calibri"/>
        <family val="2"/>
      </rPr>
      <t>Retention rate</t>
    </r>
  </si>
  <si>
    <t>Select Recharter Date</t>
  </si>
  <si>
    <r>
      <rPr>
        <i/>
        <sz val="10"/>
        <color indexed="8"/>
        <rFont val="Calibri"/>
        <family val="2"/>
      </rPr>
      <t xml:space="preserve"> Percent:</t>
    </r>
    <r>
      <rPr>
        <sz val="10"/>
        <color indexed="8"/>
        <rFont val="Calibri"/>
        <family val="2"/>
      </rPr>
      <t xml:space="preserve"> Advancement rate</t>
    </r>
  </si>
  <si>
    <r>
      <rPr>
        <i/>
        <sz val="10"/>
        <color indexed="8"/>
        <rFont val="Calibri"/>
        <family val="2"/>
      </rPr>
      <t xml:space="preserve"> Yes/No:</t>
    </r>
    <r>
      <rPr>
        <sz val="10"/>
        <color indexed="8"/>
        <rFont val="Calibri"/>
        <family val="2"/>
      </rPr>
      <t xml:space="preserve"> Scoutmaster has completed position-specific training</t>
    </r>
  </si>
  <si>
    <r>
      <t xml:space="preserve"> </t>
    </r>
    <r>
      <rPr>
        <i/>
        <sz val="10"/>
        <color indexed="8"/>
        <rFont val="Calibri"/>
        <family val="2"/>
      </rPr>
      <t>Yes/No:</t>
    </r>
    <r>
      <rPr>
        <sz val="10"/>
        <color indexed="8"/>
        <rFont val="Calibri"/>
        <family val="2"/>
      </rPr>
      <t xml:space="preserve"> At least one person has attended advanced training</t>
    </r>
  </si>
  <si>
    <r>
      <rPr>
        <b/>
        <sz val="10"/>
        <rFont val="Arial"/>
        <family val="2"/>
      </rPr>
      <t>Gold:</t>
    </r>
    <r>
      <rPr>
        <sz val="10"/>
        <rFont val="Arial"/>
        <family val="2"/>
      </rPr>
      <t xml:space="preserve">  Earn at least 1,000 points by earning points in at least 8 objectives and at least bronze in #6 or #7.</t>
    </r>
  </si>
  <si>
    <r>
      <rPr>
        <b/>
        <sz val="10"/>
        <rFont val="Calibri"/>
        <family val="2"/>
      </rPr>
      <t>Gold:</t>
    </r>
    <r>
      <rPr>
        <sz val="10"/>
        <rFont val="Calibri"/>
        <family val="2"/>
      </rPr>
      <t xml:space="preserve">  Earn at least 1,000 points by earning points in at least 8 objectives and at least bronze in #6 or #7.</t>
    </r>
  </si>
  <si>
    <t>"The BSA method for annual planning and continuous improvement"</t>
  </si>
  <si>
    <r>
      <rPr>
        <i/>
        <sz val="10"/>
        <color indexed="8"/>
        <rFont val="Calibri"/>
        <family val="2"/>
      </rPr>
      <t xml:space="preserve"> Count:</t>
    </r>
    <r>
      <rPr>
        <sz val="10"/>
        <color indexed="8"/>
        <rFont val="Calibri"/>
        <family val="2"/>
      </rPr>
      <t xml:space="preserve"> Scouts advancing one or more ranks during the year</t>
    </r>
  </si>
  <si>
    <r>
      <rPr>
        <i/>
        <sz val="10"/>
        <color indexed="8"/>
        <rFont val="Calibri"/>
        <family val="2"/>
      </rPr>
      <t xml:space="preserve"> Count:</t>
    </r>
    <r>
      <rPr>
        <sz val="10"/>
        <color indexed="8"/>
        <rFont val="Calibri"/>
        <family val="2"/>
      </rPr>
      <t xml:space="preserve"> Number of Scouts registered on June 30</t>
    </r>
  </si>
  <si>
    <r>
      <rPr>
        <i/>
        <sz val="10"/>
        <color indexed="8"/>
        <rFont val="Calibri"/>
        <family val="2"/>
      </rPr>
      <t xml:space="preserve"> Count:</t>
    </r>
    <r>
      <rPr>
        <sz val="10"/>
        <color indexed="8"/>
        <rFont val="Calibri"/>
        <family val="2"/>
      </rPr>
      <t xml:space="preserve"> Number of Scouts attending any long-term camp</t>
    </r>
  </si>
  <si>
    <t xml:space="preserve"> BeAScout Pin Current</t>
  </si>
  <si>
    <t>A</t>
  </si>
  <si>
    <t>B</t>
  </si>
  <si>
    <t>D</t>
  </si>
  <si>
    <t>E</t>
  </si>
  <si>
    <r>
      <t xml:space="preserve"> </t>
    </r>
    <r>
      <rPr>
        <i/>
        <sz val="10"/>
        <color indexed="8"/>
        <rFont val="Calibri"/>
        <family val="2"/>
      </rPr>
      <t>Yes/No:</t>
    </r>
    <r>
      <rPr>
        <sz val="10"/>
        <color indexed="8"/>
        <rFont val="Calibri"/>
        <family val="2"/>
      </rPr>
      <t xml:space="preserve"> Troop records service projects and hours in Internet Advancement</t>
    </r>
  </si>
  <si>
    <t>H</t>
  </si>
  <si>
    <t>J</t>
  </si>
  <si>
    <t xml:space="preserve">    Less: Youth 18 years or older by end of charter year (age-outs)</t>
  </si>
  <si>
    <r>
      <t xml:space="preserve">  </t>
    </r>
    <r>
      <rPr>
        <i/>
        <sz val="10"/>
        <color indexed="8"/>
        <rFont val="Calibri"/>
        <family val="2"/>
      </rPr>
      <t xml:space="preserve"> Less: Youth dropped at this year's recharter</t>
    </r>
  </si>
  <si>
    <r>
      <rPr>
        <i/>
        <sz val="10"/>
        <rFont val="Calibri"/>
        <family val="2"/>
      </rPr>
      <t xml:space="preserve"> Date:</t>
    </r>
    <r>
      <rPr>
        <sz val="10"/>
        <rFont val="Calibri"/>
        <family val="2"/>
      </rPr>
      <t xml:space="preserve"> Joint activity with a pack or Webelos den #1 (Live or virtual)</t>
    </r>
  </si>
  <si>
    <r>
      <rPr>
        <i/>
        <sz val="10"/>
        <rFont val="Calibri"/>
        <family val="2"/>
      </rPr>
      <t xml:space="preserve"> Date:</t>
    </r>
    <r>
      <rPr>
        <sz val="10"/>
        <rFont val="Calibri"/>
        <family val="2"/>
      </rPr>
      <t xml:space="preserve"> Joint activity with a pack or Webelos den #2 (Live or virtual)</t>
    </r>
  </si>
  <si>
    <r>
      <rPr>
        <i/>
        <sz val="10"/>
        <rFont val="Calibri"/>
        <family val="2"/>
      </rPr>
      <t xml:space="preserve"> Date: </t>
    </r>
    <r>
      <rPr>
        <sz val="10"/>
        <rFont val="Calibri"/>
        <family val="2"/>
      </rPr>
      <t>Troop recruitment activity or personalized invitation</t>
    </r>
  </si>
  <si>
    <r>
      <t xml:space="preserve"> Check if any formal transfers </t>
    </r>
    <r>
      <rPr>
        <b/>
        <sz val="10"/>
        <color theme="1"/>
        <rFont val="Calibri"/>
        <family val="2"/>
      </rPr>
      <t>in or out</t>
    </r>
    <r>
      <rPr>
        <sz val="10"/>
        <color theme="1"/>
        <rFont val="Calibri"/>
        <family val="2"/>
      </rPr>
      <t xml:space="preserve"> of your Unit (Except Webelos Scouts coming in)</t>
    </r>
  </si>
  <si>
    <t>K</t>
  </si>
  <si>
    <t>G</t>
  </si>
  <si>
    <t>C</t>
  </si>
  <si>
    <r>
      <rPr>
        <i/>
        <sz val="10"/>
        <rFont val="Calibri"/>
        <family val="2"/>
      </rPr>
      <t xml:space="preserve"> Count:</t>
    </r>
    <r>
      <rPr>
        <sz val="10"/>
        <rFont val="Calibri"/>
        <family val="2"/>
      </rPr>
      <t xml:space="preserve"> Webelos/AoLs joining the troop during the year</t>
    </r>
  </si>
  <si>
    <t xml:space="preserve">    Plus: Webelos/AoLs transfers from packs during the year</t>
  </si>
  <si>
    <t>2022 Journey to Excellence Troop Spreadsheet</t>
  </si>
  <si>
    <t xml:space="preserve">Most criteria will be measured for the calendar year.  For troops that recharter in December, the retention numbers will be determined from the number of youth who are reregistered from the charter expiring on 12/31/22.  However, if a unit recharters on another month, retention will be determined at that time, consistent with its charter cycle.
Journey to Excellence measures are not intended to be cumbersome for any unit.  A troop may want to track and record meetings and othe functions throughout the year, rather than trying to tabulate everything at the end.
</t>
  </si>
  <si>
    <t>1.  Spreadsheet is designed for all troops in the year ending December 31, 2022.</t>
  </si>
  <si>
    <t>2022 Scouting's Journey to Excellence</t>
  </si>
  <si>
    <r>
      <t xml:space="preserve">Planning and budget: </t>
    </r>
    <r>
      <rPr>
        <sz val="10"/>
        <rFont val="Arial"/>
        <family val="2"/>
      </rPr>
      <t xml:space="preserve"> Will have a program plan and budget that is regularly reviewed by the committee, and it follows BSA policies related to fundraising.</t>
    </r>
    <r>
      <rPr>
        <b/>
        <sz val="10"/>
        <rFont val="Arial"/>
        <family val="2"/>
      </rPr>
      <t xml:space="preserve"> </t>
    </r>
    <r>
      <rPr>
        <sz val="10"/>
        <rFont val="Arial"/>
        <family val="2"/>
      </rPr>
      <t>(Virtual/remote meetings are acceptable.)</t>
    </r>
  </si>
  <si>
    <t>Will have an annual program plan and budget adopted by the troop committee.</t>
  </si>
  <si>
    <t>Will achieve Silver, plus troop committee meets at least six times during the year to review program plans and finances.</t>
  </si>
  <si>
    <t>Will have membership growth plan that includes a recruit-ment activity or will use a personalized invitation method and have a current pin on beascout.org.</t>
  </si>
  <si>
    <r>
      <t xml:space="preserve">Webelos-to-Scout transition:  </t>
    </r>
    <r>
      <rPr>
        <sz val="10"/>
        <rFont val="Arial"/>
        <family val="2"/>
      </rPr>
      <t>Will have an effective plan to recruit Webelos Scouts into the troop.</t>
    </r>
  </si>
  <si>
    <t>With a pack or Webelos den, will hold two joint activities (live or virtual).</t>
  </si>
  <si>
    <t>60% of Scouts will attend a long-term camp.</t>
  </si>
  <si>
    <t>Will participate in four       service projects and enter      the hours on Scoutbook/ Internet Advancement.</t>
  </si>
  <si>
    <t>Will participate in three      service projects and enter     the hours on Scoutbook/ Internet Advancement.</t>
  </si>
  <si>
    <t>The troop will have patrols, and each have a patrol     leader. There will be an SPL,    if more than one patrol. The PLC will meet at least four times a year.</t>
  </si>
  <si>
    <t>Will achieve Bronze, plus    PLC will meet at least six     times.  The troop will conduct patrol leader training.</t>
  </si>
  <si>
    <t>Will have at least one registered assistant Scoutmaster.</t>
  </si>
  <si>
    <t>Will achieve Bronze, plus the troop will hold two courts of honor, where troop plans are reviewed with parents.</t>
  </si>
  <si>
    <t>Will achieve Bronze, plus troop will hold three courts of honor, where troop plans are re- viewed with parents. Will recruit at least one new leader.</t>
  </si>
  <si>
    <t>Will conduct nine short-          term overnight                campouts.</t>
  </si>
  <si>
    <t>70% of Scouts will attend a     long-term camp.</t>
  </si>
  <si>
    <t>Will participate in five         service projects and enter         hours on the Scoutbook/                     Internet Advancement.</t>
  </si>
  <si>
    <t>Will achieve Silver, plus PLC     will meet at least ten times. At least one Scout will have at- tended an advanced training course, like NYLT or Order of       the Arrow Conference.</t>
  </si>
  <si>
    <t>Will achieve Bronze, plus will provide at least one den chief      to a pack and will recruit five Webelos Scouts.</t>
  </si>
  <si>
    <t>Will reregister 85% of          eligible members.</t>
  </si>
  <si>
    <t>Will reregister 80% of      eligible members.</t>
  </si>
  <si>
    <t>Will reregister 75% of       eligible members.</t>
  </si>
  <si>
    <t>Will achieve Silver, and         either will increase youth members by 5% or will           have at least 35 members.</t>
  </si>
  <si>
    <t>Will achieve Bronze, plus      troop will conduct a planning meeting involving youth lead-    ers for following program year.</t>
  </si>
  <si>
    <t>Will achieve Bronze, and      either increase youth      members or will have at     least 25 members.</t>
  </si>
  <si>
    <t>Will achieve Bronze, plus       will recruit two Webelos Scouts.</t>
  </si>
  <si>
    <t xml:space="preserve"> 50% of Scouts will advance one rank during the year.</t>
  </si>
  <si>
    <t xml:space="preserve"> 40% of Scouts will advance one rank during the year.</t>
  </si>
  <si>
    <t xml:space="preserve"> 60% of Scouts will advance       one rank during the year.</t>
  </si>
  <si>
    <t xml:space="preserve">Scoutmaster or an assistant Scoutmaster will have completed position-specific training. </t>
  </si>
  <si>
    <t>Will achieve Bronze, plus the Scoutmaster and 60% of assistants will have completed position-specific training or, if new, will complete within three months of joining.</t>
  </si>
  <si>
    <t>Will achieve Silver, plus two-thirds of active committee members will have completed position-specific training and        at least one person will have attended an advanced training course involving a total of at     least 5 days.</t>
  </si>
  <si>
    <t>The troop will participate in        a long-term camp.</t>
  </si>
  <si>
    <t>Will conduct seven              short-term overnight          campouts.</t>
  </si>
  <si>
    <t>Will conduct four short-            term overnight             campouts.</t>
  </si>
  <si>
    <r>
      <t xml:space="preserve">Service projects: </t>
    </r>
    <r>
      <rPr>
        <sz val="10"/>
        <rFont val="Arial"/>
        <family val="2"/>
      </rPr>
      <t xml:space="preserve"> Will participate in service projects, with at least one benefiting the chartered organization.</t>
    </r>
    <r>
      <rPr>
        <b/>
        <sz val="10"/>
        <rFont val="Arial"/>
        <family val="2"/>
      </rPr>
      <t xml:space="preserve"> </t>
    </r>
    <r>
      <rPr>
        <sz val="10"/>
        <rFont val="Arial"/>
        <family val="2"/>
      </rPr>
      <t>(Includes home engagements           serving others.)  Will record service hours.</t>
    </r>
  </si>
  <si>
    <r>
      <t xml:space="preserve">Leadership and family engagement: </t>
    </r>
    <r>
      <rPr>
        <sz val="10"/>
        <rFont val="Arial"/>
        <family val="2"/>
      </rPr>
      <t>The troop will be proactive in recruiting sufficient leaders and will communicate regularly with parents. (Virtual/remote parents' meetings are acceptable.)</t>
    </r>
  </si>
  <si>
    <r>
      <t xml:space="preserve">Building Scouting:  </t>
    </r>
    <r>
      <rPr>
        <sz val="10"/>
        <rFont val="Arial"/>
        <family val="2"/>
      </rPr>
      <t>Will recruit new youth into the troop in order to grow membership.</t>
    </r>
  </si>
  <si>
    <r>
      <t xml:space="preserve">Retention: </t>
    </r>
    <r>
      <rPr>
        <sz val="10"/>
        <rFont val="Arial"/>
        <family val="2"/>
      </rPr>
      <t xml:space="preserve"> Will retain a significant                                         percentage of youth members.</t>
    </r>
  </si>
  <si>
    <r>
      <rPr>
        <b/>
        <sz val="10"/>
        <rFont val="Calibri"/>
        <family val="2"/>
      </rPr>
      <t xml:space="preserve">Planning and budget: </t>
    </r>
    <r>
      <rPr>
        <sz val="10"/>
        <rFont val="Calibri"/>
        <family val="2"/>
      </rPr>
      <t xml:space="preserve"> Will have a program plan and budget that is regularly reviewed by the committee, and it follows BSA policies related to fundraising. (Virtual/remote meetings are acceptable.)</t>
    </r>
  </si>
  <si>
    <r>
      <rPr>
        <b/>
        <sz val="10"/>
        <color indexed="8"/>
        <rFont val="Calibri"/>
        <family val="2"/>
      </rPr>
      <t>Building Scouting:</t>
    </r>
    <r>
      <rPr>
        <sz val="10"/>
        <color indexed="8"/>
        <rFont val="Calibri"/>
        <family val="2"/>
      </rPr>
      <t xml:space="preserve">  Will recruit new youth into the troop in order to grow membership.</t>
    </r>
  </si>
  <si>
    <r>
      <rPr>
        <b/>
        <sz val="10"/>
        <color indexed="8"/>
        <rFont val="Calibri"/>
        <family val="2"/>
      </rPr>
      <t xml:space="preserve">Retention:  </t>
    </r>
    <r>
      <rPr>
        <sz val="10"/>
        <color indexed="8"/>
        <rFont val="Calibri"/>
        <family val="2"/>
      </rPr>
      <t>Will retain a        significant percentage of youth members.</t>
    </r>
  </si>
  <si>
    <r>
      <rPr>
        <b/>
        <sz val="10"/>
        <color indexed="8"/>
        <rFont val="Calibri"/>
        <family val="2"/>
      </rPr>
      <t>Webelos-to-Scout transition:</t>
    </r>
    <r>
      <rPr>
        <sz val="10"/>
        <color indexed="8"/>
        <rFont val="Calibri"/>
        <family val="2"/>
      </rPr>
      <t xml:space="preserve">  Will have an effective plan to recruit Webelos Scouts into the troop.</t>
    </r>
  </si>
  <si>
    <r>
      <rPr>
        <b/>
        <sz val="10"/>
        <color indexed="8"/>
        <rFont val="Calibri"/>
        <family val="2"/>
      </rPr>
      <t xml:space="preserve">Advancement: </t>
    </r>
    <r>
      <rPr>
        <sz val="10"/>
        <color indexed="8"/>
        <rFont val="Calibri"/>
        <family val="2"/>
      </rPr>
      <t xml:space="preserve"> Will achieve a high percentage of Scouts earning rank advancements.</t>
    </r>
  </si>
  <si>
    <r>
      <rPr>
        <b/>
        <sz val="10"/>
        <rFont val="Calibri"/>
        <family val="2"/>
      </rPr>
      <t>Short-term camping:</t>
    </r>
    <r>
      <rPr>
        <sz val="10"/>
        <rFont val="Calibri"/>
        <family val="2"/>
      </rPr>
      <t xml:space="preserve">  Will conduct short-term or weekend campouts throughout the year. (Alternative home-centered approaches may be used.)</t>
    </r>
  </si>
  <si>
    <r>
      <rPr>
        <b/>
        <sz val="10"/>
        <rFont val="Calibri"/>
        <family val="2"/>
      </rPr>
      <t xml:space="preserve">Long-term camping: </t>
    </r>
    <r>
      <rPr>
        <sz val="10"/>
        <rFont val="Calibri"/>
        <family val="2"/>
      </rPr>
      <t xml:space="preserve"> Will participate in long-term camp with a majority of the troop in attendance. (Includes council-offered alternatives.)</t>
    </r>
  </si>
  <si>
    <r>
      <t xml:space="preserve">Long-term camping:  </t>
    </r>
    <r>
      <rPr>
        <sz val="10"/>
        <rFont val="Arial"/>
        <family val="2"/>
      </rPr>
      <t>Will participate in long-    term camp with a majority of the troop in attendance.</t>
    </r>
    <r>
      <rPr>
        <b/>
        <sz val="10"/>
        <rFont val="Arial"/>
        <family val="2"/>
      </rPr>
      <t xml:space="preserve">    </t>
    </r>
    <r>
      <rPr>
        <sz val="10"/>
        <rFont val="Arial"/>
        <family val="2"/>
      </rPr>
      <t>(Includes council-offered alternatives.)</t>
    </r>
  </si>
  <si>
    <r>
      <t xml:space="preserve">Trained leadership: </t>
    </r>
    <r>
      <rPr>
        <sz val="10"/>
        <rFont val="Arial"/>
        <family val="2"/>
      </rPr>
      <t>Will</t>
    </r>
    <r>
      <rPr>
        <b/>
        <sz val="10"/>
        <rFont val="Arial"/>
        <family val="2"/>
      </rPr>
      <t xml:space="preserve"> h</t>
    </r>
    <r>
      <rPr>
        <sz val="10"/>
        <rFont val="Arial"/>
        <family val="2"/>
      </rPr>
      <t>ave trained and     engaged leaders at all levels.  All leaders are required to have youth protection training. (Online/remote training is acceptable, except for Introduction to Outdoor Leader Skills.)</t>
    </r>
  </si>
  <si>
    <r>
      <t xml:space="preserve">Patrol method: </t>
    </r>
    <r>
      <rPr>
        <sz val="10"/>
        <rFont val="Arial"/>
        <family val="2"/>
      </rPr>
      <t xml:space="preserve"> Will use the patrol method to develop youth leaders. (Virtual/remote meetings       are acceptable.)</t>
    </r>
  </si>
  <si>
    <r>
      <t xml:space="preserve">Short-term camping:  </t>
    </r>
    <r>
      <rPr>
        <sz val="10"/>
        <rFont val="Arial"/>
        <family val="2"/>
      </rPr>
      <t>Will conduct short-term      or weekend campouts throughout the year.</t>
    </r>
    <r>
      <rPr>
        <b/>
        <sz val="10"/>
        <rFont val="Arial"/>
        <family val="2"/>
      </rPr>
      <t xml:space="preserve"> </t>
    </r>
    <r>
      <rPr>
        <sz val="10"/>
        <rFont val="Arial"/>
        <family val="2"/>
      </rPr>
      <t>(Alternative home-centered approaches may be used.)</t>
    </r>
  </si>
  <si>
    <r>
      <t xml:space="preserve">Advancement:  </t>
    </r>
    <r>
      <rPr>
        <sz val="10"/>
        <rFont val="Arial"/>
        <family val="2"/>
      </rPr>
      <t>Will achieve a high percentage      of Scouts earning rank advancements.</t>
    </r>
  </si>
  <si>
    <r>
      <rPr>
        <b/>
        <sz val="10"/>
        <rFont val="Calibri"/>
        <family val="2"/>
      </rPr>
      <t>Service projects:</t>
    </r>
    <r>
      <rPr>
        <sz val="10"/>
        <rFont val="Calibri"/>
        <family val="2"/>
      </rPr>
      <t xml:space="preserve">  Will participate in service projects, with at least one benefiting the chartered organization. (Includes home engagements           serving others.)  Will record service hours.</t>
    </r>
  </si>
  <si>
    <r>
      <rPr>
        <b/>
        <sz val="10"/>
        <rFont val="Calibri"/>
        <family val="2"/>
      </rPr>
      <t xml:space="preserve">Patrol method: </t>
    </r>
    <r>
      <rPr>
        <sz val="10"/>
        <rFont val="Calibri"/>
        <family val="2"/>
      </rPr>
      <t xml:space="preserve"> Will use the patrol method to develop youth leaders. (Virtual/remote meetings are acceptable.)</t>
    </r>
  </si>
  <si>
    <r>
      <rPr>
        <b/>
        <sz val="10"/>
        <rFont val="Calibri"/>
        <family val="2"/>
      </rPr>
      <t xml:space="preserve">Leadership and family engagement: </t>
    </r>
    <r>
      <rPr>
        <sz val="10"/>
        <rFont val="Calibri"/>
        <family val="2"/>
      </rPr>
      <t>The troop will     be proactive in recruiting sufficient leaders and will communicate regularly with parents. (Virtual/remote parents' meetings are acceptable.)</t>
    </r>
  </si>
  <si>
    <r>
      <rPr>
        <b/>
        <sz val="10"/>
        <rFont val="Calibri"/>
        <family val="2"/>
      </rPr>
      <t>Trained leadership</t>
    </r>
    <r>
      <rPr>
        <sz val="10"/>
        <rFont val="Calibri"/>
        <family val="2"/>
      </rPr>
      <t>: Will have trained and engaged leaders at all levels.  All leaders are required to have youth protection training. (Online/remote training is acceptable, except for Introduction to Outdoor Leader Skills.)</t>
    </r>
  </si>
  <si>
    <r>
      <t xml:space="preserve"> </t>
    </r>
    <r>
      <rPr>
        <i/>
        <sz val="10"/>
        <color indexed="8"/>
        <rFont val="Calibri"/>
        <family val="2"/>
      </rPr>
      <t>Yes/No:</t>
    </r>
    <r>
      <rPr>
        <sz val="10"/>
        <color indexed="8"/>
        <rFont val="Calibri"/>
        <family val="2"/>
      </rPr>
      <t xml:space="preserve"> Recruited at least one new leader</t>
    </r>
  </si>
  <si>
    <r>
      <rPr>
        <i/>
        <sz val="10"/>
        <color indexed="8"/>
        <rFont val="Calibri"/>
        <family val="2"/>
      </rPr>
      <t xml:space="preserve"> Count:</t>
    </r>
    <r>
      <rPr>
        <sz val="10"/>
        <color indexed="8"/>
        <rFont val="Calibri"/>
        <family val="2"/>
      </rPr>
      <t xml:space="preserve"> Current membership as of 12/31/2022</t>
    </r>
  </si>
  <si>
    <r>
      <t xml:space="preserve">    Plus: New Scouts joining </t>
    </r>
    <r>
      <rPr>
        <b/>
        <i/>
        <sz val="10"/>
        <color rgb="FFFF0000"/>
        <rFont val="Calibri"/>
        <family val="2"/>
      </rPr>
      <t xml:space="preserve">during the charter year </t>
    </r>
    <r>
      <rPr>
        <sz val="10"/>
        <rFont val="Calibri"/>
        <family val="2"/>
      </rPr>
      <t>(not AoLs)</t>
    </r>
  </si>
  <si>
    <t>4.  With a few exceptions, dates entered need to be in the range of January 1, 2022 through December 31, 2022.</t>
  </si>
  <si>
    <r>
      <t>3.  Sources of data include unit records, numbers provided by your council, and My.Scouting</t>
    </r>
    <r>
      <rPr>
        <strike/>
        <sz val="11"/>
        <color indexed="10"/>
        <rFont val="Calibri"/>
        <family val="2"/>
      </rPr>
      <t xml:space="preserve"> </t>
    </r>
    <r>
      <rPr>
        <sz val="11"/>
        <color theme="1"/>
        <rFont val="Calibri"/>
        <family val="2"/>
      </rPr>
      <t>and Scoutbook.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</si>
</sst>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
    <numFmt numFmtId="165" formatCode="0.0%"/>
    <numFmt numFmtId="166" formatCode="0.0%;[Red]\-0.0%"/>
    <numFmt numFmtId="167" formatCode="[$-409]mmmm\ d\,\ yyyy;@"/>
  </numFmts>
  <fonts count="44"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charset val="2"/>
    </font>
    <font>
      <b/>
      <sz val="15"/>
      <name val="Arial"/>
      <family val="2"/>
    </font>
    <font>
      <i/>
      <sz val="10"/>
      <name val="Arial"/>
      <family val="2"/>
    </font>
    <font>
      <sz val="10"/>
      <name val="Arial"/>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4"/>
      <color theme="1"/>
      <name val="Calibri"/>
      <family val="2"/>
    </font>
    <font>
      <b/>
      <i/>
      <sz val="12"/>
      <color theme="1"/>
      <name val="Calibri"/>
      <family val="2"/>
    </font>
    <font>
      <b/>
      <sz val="10"/>
      <color rgb="FFFF0000"/>
      <name val="Arial"/>
      <family val="2"/>
    </font>
    <font>
      <b/>
      <sz val="10"/>
      <color theme="0"/>
      <name val="Calibri"/>
      <family val="2"/>
    </font>
    <font>
      <b/>
      <sz val="10"/>
      <color theme="1"/>
      <name val="Calibri"/>
      <family val="2"/>
    </font>
    <font>
      <b/>
      <sz val="12"/>
      <color theme="1"/>
      <name val="Calibri"/>
      <family val="2"/>
    </font>
    <font>
      <b/>
      <i/>
      <sz val="14"/>
      <color rgb="FFC00000"/>
      <name val="Arial Black"/>
      <family val="2"/>
    </font>
    <font>
      <i/>
      <sz val="18"/>
      <color rgb="FFC00000"/>
      <name val="Arial Black"/>
      <family val="2"/>
    </font>
    <font>
      <i/>
      <sz val="16"/>
      <color rgb="FFC00000"/>
      <name val="Arial Black"/>
      <family val="2"/>
    </font>
    <font>
      <sz val="8"/>
      <color rgb="FF000000"/>
      <name val="Segoe UI"/>
      <family val="2"/>
    </font>
    <font>
      <sz val="8"/>
      <color rgb="FF000000"/>
      <name val="Tahoma"/>
      <family val="2"/>
    </font>
    <font>
      <i/>
      <sz val="10"/>
      <name val="Calibri"/>
      <family val="2"/>
    </font>
    <font>
      <b/>
      <i/>
      <sz val="10"/>
      <color rgb="FFFF0000"/>
      <name val="Calibri"/>
      <family val="2"/>
    </font>
    <font>
      <strike/>
      <sz val="11"/>
      <color indexed="10"/>
      <name val="Calibri"/>
      <family val="2"/>
    </font>
  </fonts>
  <fills count="5">
    <fill>
      <patternFill patternType="none"/>
    </fill>
    <fill>
      <patternFill patternType="gray125"/>
    </fill>
    <fill>
      <patternFill patternType="solid">
        <fgColor rgb="FFC00000"/>
        <bgColor indexed="64"/>
      </patternFill>
    </fill>
    <fill>
      <patternFill patternType="solid">
        <fgColor theme="5" tint="0.59999389629810485"/>
        <bgColor indexed="64"/>
      </patternFill>
    </fill>
    <fill>
      <patternFill patternType="solid">
        <fgColor rgb="FFFF000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9"/>
      </left>
      <right style="medium">
        <color indexed="64"/>
      </right>
      <top style="medium">
        <color indexed="64"/>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4">
    <xf numFmtId="0" fontId="0" fillId="0" borderId="0"/>
    <xf numFmtId="0" fontId="9" fillId="0" borderId="0"/>
    <xf numFmtId="0" fontId="18" fillId="0" borderId="0"/>
    <xf numFmtId="9" fontId="9" fillId="0" borderId="0" applyFont="0" applyFill="0" applyBorder="0" applyAlignment="0" applyProtection="0"/>
  </cellStyleXfs>
  <cellXfs count="156">
    <xf numFmtId="0" fontId="0" fillId="0" borderId="0" xfId="0"/>
    <xf numFmtId="164" fontId="21" fillId="0" borderId="1" xfId="0" applyNumberFormat="1" applyFont="1" applyBorder="1" applyAlignment="1" applyProtection="1">
      <alignment horizontal="center" vertical="center"/>
      <protection locked="0"/>
    </xf>
    <xf numFmtId="3" fontId="21" fillId="0" borderId="1" xfId="0" applyNumberFormat="1" applyFont="1" applyBorder="1" applyAlignment="1" applyProtection="1">
      <alignment horizontal="center" vertical="center"/>
      <protection locked="0"/>
    </xf>
    <xf numFmtId="0" fontId="4" fillId="0" borderId="0" xfId="0" applyFont="1"/>
    <xf numFmtId="0" fontId="7" fillId="0" borderId="0" xfId="0" applyFont="1"/>
    <xf numFmtId="0" fontId="21" fillId="0" borderId="0" xfId="0" applyFont="1"/>
    <xf numFmtId="0" fontId="22" fillId="0" borderId="0" xfId="0" applyFont="1"/>
    <xf numFmtId="0" fontId="0" fillId="0" borderId="2" xfId="0" applyBorder="1"/>
    <xf numFmtId="0" fontId="0" fillId="0" borderId="3" xfId="0" applyBorder="1"/>
    <xf numFmtId="0" fontId="4" fillId="0" borderId="4" xfId="0" applyFont="1" applyBorder="1"/>
    <xf numFmtId="0" fontId="21" fillId="0" borderId="5" xfId="0" applyFont="1" applyBorder="1"/>
    <xf numFmtId="0" fontId="19" fillId="0" borderId="6" xfId="0" applyFont="1" applyBorder="1"/>
    <xf numFmtId="0" fontId="21" fillId="0" borderId="0" xfId="0" applyFont="1" applyAlignment="1">
      <alignment horizontal="center" vertical="center"/>
    </xf>
    <xf numFmtId="1" fontId="21" fillId="0" borderId="1" xfId="0" applyNumberFormat="1" applyFont="1" applyBorder="1" applyAlignment="1">
      <alignment horizontal="center" vertical="center"/>
    </xf>
    <xf numFmtId="0" fontId="0" fillId="0" borderId="7" xfId="0" applyBorder="1"/>
    <xf numFmtId="0" fontId="0" fillId="0" borderId="8" xfId="0" applyBorder="1"/>
    <xf numFmtId="0" fontId="19" fillId="0" borderId="9" xfId="0" applyFont="1" applyBorder="1"/>
    <xf numFmtId="0" fontId="4" fillId="0" borderId="6" xfId="0" applyFont="1" applyBorder="1"/>
    <xf numFmtId="3" fontId="21" fillId="0" borderId="1" xfId="0" applyNumberFormat="1" applyFont="1" applyBorder="1" applyAlignment="1">
      <alignment horizontal="center" vertical="center"/>
    </xf>
    <xf numFmtId="166" fontId="21" fillId="0" borderId="1" xfId="0" applyNumberFormat="1" applyFont="1" applyBorder="1" applyAlignment="1">
      <alignment horizontal="center" vertical="center"/>
    </xf>
    <xf numFmtId="0" fontId="2" fillId="0" borderId="5" xfId="0" applyFont="1" applyBorder="1"/>
    <xf numFmtId="165" fontId="21" fillId="0" borderId="1" xfId="0" applyNumberFormat="1" applyFont="1" applyBorder="1" applyAlignment="1">
      <alignment horizontal="center"/>
    </xf>
    <xf numFmtId="0" fontId="21" fillId="0" borderId="0" xfId="0" applyFont="1" applyAlignment="1">
      <alignment horizontal="center"/>
    </xf>
    <xf numFmtId="0" fontId="2" fillId="0" borderId="0" xfId="0" applyFont="1"/>
    <xf numFmtId="1" fontId="21" fillId="0" borderId="0" xfId="0" applyNumberFormat="1" applyFont="1" applyAlignment="1">
      <alignment horizontal="center"/>
    </xf>
    <xf numFmtId="0" fontId="23" fillId="0" borderId="0" xfId="0" applyFont="1"/>
    <xf numFmtId="0" fontId="19" fillId="0" borderId="0" xfId="0" applyFont="1"/>
    <xf numFmtId="0" fontId="21" fillId="0" borderId="10" xfId="0" applyFont="1" applyBorder="1" applyAlignment="1">
      <alignment horizontal="center" vertical="center"/>
    </xf>
    <xf numFmtId="0" fontId="8"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center" wrapText="1"/>
    </xf>
    <xf numFmtId="0" fontId="26" fillId="0" borderId="0" xfId="0" applyFont="1" applyAlignment="1">
      <alignment horizontal="left"/>
    </xf>
    <xf numFmtId="3" fontId="27" fillId="0" borderId="8" xfId="0" applyNumberFormat="1" applyFont="1" applyBorder="1" applyAlignment="1">
      <alignment horizontal="center" wrapText="1"/>
    </xf>
    <xf numFmtId="0" fontId="24" fillId="0" borderId="0" xfId="0" applyFont="1" applyAlignment="1">
      <alignment horizontal="center" wrapText="1"/>
    </xf>
    <xf numFmtId="0" fontId="24" fillId="0" borderId="0" xfId="0" applyFont="1" applyAlignment="1">
      <alignment wrapText="1"/>
    </xf>
    <xf numFmtId="0" fontId="25" fillId="0" borderId="0" xfId="0" applyFont="1" applyAlignment="1">
      <alignment wrapText="1"/>
    </xf>
    <xf numFmtId="0" fontId="28" fillId="0" borderId="0" xfId="0" applyFont="1"/>
    <xf numFmtId="0" fontId="27" fillId="0" borderId="8" xfId="0" applyFont="1" applyBorder="1" applyAlignment="1">
      <alignment horizontal="center" wrapText="1"/>
    </xf>
    <xf numFmtId="0" fontId="29" fillId="0" borderId="0" xfId="0" applyFont="1"/>
    <xf numFmtId="0" fontId="0" fillId="0" borderId="0" xfId="0" applyAlignment="1">
      <alignment horizontal="center"/>
    </xf>
    <xf numFmtId="0" fontId="30" fillId="0" borderId="0" xfId="0" applyFont="1" applyAlignment="1">
      <alignment horizontal="center"/>
    </xf>
    <xf numFmtId="0" fontId="31" fillId="0" borderId="0" xfId="0" applyFont="1" applyAlignment="1">
      <alignment horizontal="left"/>
    </xf>
    <xf numFmtId="0" fontId="10" fillId="0" borderId="0" xfId="2" applyFont="1" applyAlignment="1">
      <alignment wrapText="1"/>
    </xf>
    <xf numFmtId="0" fontId="9" fillId="0" borderId="0" xfId="2" applyFont="1" applyAlignment="1">
      <alignment wrapText="1"/>
    </xf>
    <xf numFmtId="0" fontId="11" fillId="0" borderId="0" xfId="2" applyFont="1" applyAlignment="1">
      <alignment horizontal="center" vertical="center" wrapText="1"/>
    </xf>
    <xf numFmtId="0" fontId="9" fillId="0" borderId="0" xfId="2" applyFont="1" applyAlignment="1">
      <alignment horizont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0" xfId="2" applyFont="1" applyAlignment="1">
      <alignment horizontal="right" vertical="center" wrapText="1"/>
    </xf>
    <xf numFmtId="0" fontId="15" fillId="0" borderId="0" xfId="1" applyFont="1" applyAlignment="1">
      <alignment horizontal="center" vertical="center" wrapText="1"/>
    </xf>
    <xf numFmtId="0" fontId="9" fillId="0" borderId="0" xfId="2" applyFont="1" applyAlignment="1">
      <alignment horizontal="left" vertical="center"/>
    </xf>
    <xf numFmtId="0" fontId="9" fillId="0" borderId="0" xfId="2" applyFont="1" applyAlignment="1">
      <alignment horizontal="left" vertical="center" wrapText="1"/>
    </xf>
    <xf numFmtId="0" fontId="11" fillId="0" borderId="0" xfId="2" applyFont="1" applyAlignment="1">
      <alignment horizontal="left"/>
    </xf>
    <xf numFmtId="3" fontId="11" fillId="0" borderId="8" xfId="1" applyNumberFormat="1" applyFont="1" applyBorder="1" applyAlignment="1">
      <alignment horizontal="center" wrapText="1"/>
    </xf>
    <xf numFmtId="0" fontId="11" fillId="0" borderId="8" xfId="1" applyFont="1" applyBorder="1" applyAlignment="1">
      <alignment horizontal="center" wrapText="1"/>
    </xf>
    <xf numFmtId="0" fontId="16" fillId="0" borderId="0" xfId="2" applyFont="1" applyAlignment="1">
      <alignment horizontal="center" vertical="center" wrapText="1"/>
    </xf>
    <xf numFmtId="0" fontId="15" fillId="0" borderId="0" xfId="2" applyFont="1" applyAlignment="1">
      <alignment horizontal="center" vertical="center" wrapText="1"/>
    </xf>
    <xf numFmtId="0" fontId="17" fillId="0" borderId="0" xfId="2" applyFont="1" applyAlignment="1">
      <alignment horizontal="left" vertical="center"/>
    </xf>
    <xf numFmtId="0" fontId="17" fillId="0" borderId="0" xfId="2" applyFont="1" applyAlignment="1">
      <alignment vertical="center"/>
    </xf>
    <xf numFmtId="0" fontId="9" fillId="0" borderId="0" xfId="2" applyFont="1"/>
    <xf numFmtId="0" fontId="17" fillId="0" borderId="0" xfId="2" applyFont="1"/>
    <xf numFmtId="0" fontId="32" fillId="0" borderId="0" xfId="2" applyFont="1" applyAlignment="1">
      <alignment wrapText="1"/>
    </xf>
    <xf numFmtId="0" fontId="0" fillId="0" borderId="0" xfId="0" applyAlignment="1">
      <alignment wrapText="1"/>
    </xf>
    <xf numFmtId="0" fontId="31" fillId="0" borderId="0" xfId="0" applyFont="1"/>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3" fillId="2" borderId="0" xfId="0" applyFont="1" applyFill="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left" vertical="center" wrapText="1"/>
    </xf>
    <xf numFmtId="9" fontId="9" fillId="0" borderId="11" xfId="0" applyNumberFormat="1" applyFont="1" applyBorder="1" applyAlignment="1">
      <alignment horizontal="center" vertical="center" wrapText="1"/>
    </xf>
    <xf numFmtId="0" fontId="11" fillId="2" borderId="19" xfId="0" applyFont="1" applyFill="1" applyBorder="1" applyAlignment="1">
      <alignment horizontal="center" vertical="center" wrapText="1"/>
    </xf>
    <xf numFmtId="0" fontId="11" fillId="0" borderId="18" xfId="0" applyFont="1" applyBorder="1" applyAlignment="1">
      <alignment vertical="center" wrapText="1"/>
    </xf>
    <xf numFmtId="0" fontId="9" fillId="0" borderId="11" xfId="0" applyFont="1" applyBorder="1" applyAlignment="1">
      <alignment horizontal="center" vertical="center" wrapText="1"/>
    </xf>
    <xf numFmtId="165" fontId="11" fillId="0" borderId="18" xfId="3" applyNumberFormat="1" applyFont="1" applyFill="1" applyBorder="1" applyAlignment="1">
      <alignment horizontal="left" vertical="center" wrapText="1"/>
    </xf>
    <xf numFmtId="0" fontId="11" fillId="0" borderId="20" xfId="0" applyFont="1" applyBorder="1" applyAlignment="1">
      <alignment horizontal="left" vertical="center" wrapText="1"/>
    </xf>
    <xf numFmtId="0" fontId="11" fillId="0" borderId="20" xfId="0" applyFont="1" applyBorder="1" applyAlignment="1">
      <alignment vertical="center" wrapText="1"/>
    </xf>
    <xf numFmtId="0" fontId="11"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9" fillId="0" borderId="13" xfId="0" applyFont="1" applyBorder="1" applyAlignment="1">
      <alignment horizontal="center" vertical="center" wrapText="1"/>
    </xf>
    <xf numFmtId="9" fontId="9" fillId="0" borderId="13" xfId="0" applyNumberFormat="1" applyFont="1" applyBorder="1" applyAlignment="1">
      <alignment horizontal="center" vertical="center" wrapText="1"/>
    </xf>
    <xf numFmtId="0" fontId="12" fillId="2" borderId="16" xfId="2" applyFont="1" applyFill="1" applyBorder="1" applyAlignment="1">
      <alignment horizontal="center" vertical="center" wrapText="1"/>
    </xf>
    <xf numFmtId="0" fontId="12" fillId="2" borderId="23" xfId="2" applyFont="1" applyFill="1" applyBorder="1" applyAlignment="1">
      <alignment horizontal="center" vertical="center" wrapText="1"/>
    </xf>
    <xf numFmtId="0" fontId="13" fillId="2" borderId="6" xfId="2" applyFont="1" applyFill="1" applyBorder="1" applyAlignment="1">
      <alignment horizontal="center" vertical="center" wrapText="1"/>
    </xf>
    <xf numFmtId="3" fontId="13" fillId="2" borderId="6" xfId="2" applyNumberFormat="1" applyFont="1" applyFill="1" applyBorder="1" applyAlignment="1">
      <alignment horizontal="center" vertical="center" wrapText="1"/>
    </xf>
    <xf numFmtId="0" fontId="33" fillId="2" borderId="24" xfId="0" applyFont="1" applyFill="1" applyBorder="1" applyAlignment="1">
      <alignment horizontal="center" wrapText="1"/>
    </xf>
    <xf numFmtId="0" fontId="33" fillId="2" borderId="24" xfId="0" applyFont="1" applyFill="1" applyBorder="1" applyAlignment="1">
      <alignment horizontal="center" vertical="center"/>
    </xf>
    <xf numFmtId="0" fontId="33" fillId="2" borderId="25" xfId="0" applyFont="1" applyFill="1" applyBorder="1" applyAlignment="1">
      <alignment horizontal="center" vertical="center"/>
    </xf>
    <xf numFmtId="0" fontId="33" fillId="2" borderId="26" xfId="0" applyFont="1" applyFill="1" applyBorder="1" applyAlignment="1">
      <alignment horizontal="center" vertical="center" wrapText="1"/>
    </xf>
    <xf numFmtId="0" fontId="33" fillId="2" borderId="26" xfId="0" applyFont="1" applyFill="1" applyBorder="1"/>
    <xf numFmtId="0" fontId="5" fillId="2" borderId="27" xfId="0" applyFont="1" applyFill="1" applyBorder="1"/>
    <xf numFmtId="0" fontId="20" fillId="2" borderId="25" xfId="0" applyFont="1" applyFill="1" applyBorder="1" applyAlignment="1">
      <alignment horizontal="center" vertical="center"/>
    </xf>
    <xf numFmtId="0" fontId="33" fillId="2" borderId="26"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27" xfId="0" applyFont="1" applyFill="1" applyBorder="1" applyAlignment="1">
      <alignment horizontal="center" vertical="center"/>
    </xf>
    <xf numFmtId="0" fontId="7" fillId="0" borderId="0" xfId="0" applyFont="1" applyAlignment="1">
      <alignment horizontal="left" vertical="center"/>
    </xf>
    <xf numFmtId="0" fontId="22" fillId="0" borderId="5" xfId="0" applyFont="1" applyBorder="1"/>
    <xf numFmtId="14" fontId="21" fillId="0" borderId="0" xfId="0" applyNumberFormat="1" applyFont="1"/>
    <xf numFmtId="14" fontId="7" fillId="0" borderId="0" xfId="0" applyNumberFormat="1" applyFont="1"/>
    <xf numFmtId="0" fontId="21" fillId="0" borderId="0" xfId="0" applyFont="1" applyProtection="1">
      <protection locked="0"/>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3" fontId="21" fillId="0" borderId="0" xfId="0" applyNumberFormat="1" applyFont="1" applyAlignment="1">
      <alignment horizontal="center" vertical="center"/>
    </xf>
    <xf numFmtId="14" fontId="2" fillId="0" borderId="5" xfId="0" applyNumberFormat="1" applyFont="1" applyBorder="1"/>
    <xf numFmtId="14" fontId="0" fillId="0" borderId="0" xfId="0" applyNumberFormat="1"/>
    <xf numFmtId="3" fontId="21" fillId="0" borderId="0" xfId="0" applyNumberFormat="1" applyFont="1"/>
    <xf numFmtId="3" fontId="21" fillId="0" borderId="1" xfId="0" applyNumberFormat="1" applyFont="1" applyBorder="1" applyAlignment="1">
      <alignment horizontal="center"/>
    </xf>
    <xf numFmtId="0" fontId="0" fillId="0" borderId="5" xfId="0" applyBorder="1"/>
    <xf numFmtId="3" fontId="21" fillId="0" borderId="10" xfId="0" applyNumberFormat="1" applyFont="1" applyBorder="1" applyAlignment="1" applyProtection="1">
      <alignment horizontal="center" vertical="center"/>
      <protection locked="0"/>
    </xf>
    <xf numFmtId="0" fontId="6" fillId="0" borderId="0" xfId="0" applyFont="1"/>
    <xf numFmtId="0" fontId="7" fillId="0" borderId="7" xfId="0" applyFont="1" applyBorder="1"/>
    <xf numFmtId="0" fontId="7" fillId="0" borderId="5" xfId="0" applyFont="1" applyBorder="1"/>
    <xf numFmtId="0" fontId="2" fillId="0" borderId="0" xfId="0" applyFont="1" applyAlignment="1">
      <alignment wrapText="1"/>
    </xf>
    <xf numFmtId="1" fontId="21" fillId="0" borderId="1" xfId="0" applyNumberFormat="1" applyFont="1" applyBorder="1" applyAlignment="1" applyProtection="1">
      <alignment horizontal="center"/>
      <protection locked="0"/>
    </xf>
    <xf numFmtId="3" fontId="21" fillId="4" borderId="1" xfId="0" applyNumberFormat="1" applyFont="1" applyFill="1" applyBorder="1" applyAlignment="1" applyProtection="1">
      <alignment horizontal="center" vertical="center"/>
      <protection locked="0"/>
    </xf>
    <xf numFmtId="0" fontId="41" fillId="0" borderId="5" xfId="0" applyFont="1" applyBorder="1"/>
    <xf numFmtId="1" fontId="21" fillId="0" borderId="1" xfId="0" applyNumberFormat="1" applyFont="1" applyBorder="1" applyAlignment="1">
      <alignment horizontal="center"/>
    </xf>
    <xf numFmtId="0" fontId="7" fillId="4" borderId="0" xfId="0" applyFont="1" applyFill="1"/>
    <xf numFmtId="0" fontId="21" fillId="4" borderId="0" xfId="0" applyFont="1" applyFill="1"/>
    <xf numFmtId="0" fontId="0" fillId="4" borderId="0" xfId="0" applyFill="1"/>
    <xf numFmtId="1" fontId="21" fillId="0" borderId="0" xfId="0" applyNumberFormat="1" applyFont="1"/>
    <xf numFmtId="0" fontId="0" fillId="0" borderId="0" xfId="0" applyProtection="1">
      <protection locked="0"/>
    </xf>
    <xf numFmtId="0" fontId="0" fillId="0" borderId="0" xfId="0" applyAlignment="1">
      <alignment horizontal="left" vertical="top" wrapText="1"/>
    </xf>
    <xf numFmtId="0" fontId="0" fillId="0" borderId="0" xfId="0" applyAlignment="1">
      <alignment horizontal="left" vertical="top"/>
    </xf>
    <xf numFmtId="0" fontId="30"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7" fillId="0" borderId="28"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0" xfId="0" applyFont="1" applyBorder="1" applyAlignment="1">
      <alignment horizontal="left" vertical="center" wrapText="1" indent="1"/>
    </xf>
    <xf numFmtId="0" fontId="35" fillId="0" borderId="0" xfId="0" applyFont="1" applyAlignment="1">
      <alignment horizontal="center"/>
    </xf>
    <xf numFmtId="167" fontId="34" fillId="0" borderId="0" xfId="0" applyNumberFormat="1" applyFont="1" applyAlignment="1">
      <alignment horizontal="center"/>
    </xf>
    <xf numFmtId="0" fontId="21" fillId="0" borderId="5" xfId="0" applyFont="1" applyBorder="1" applyAlignment="1">
      <alignment horizontal="left"/>
    </xf>
    <xf numFmtId="0" fontId="21" fillId="0" borderId="0" xfId="0" applyFont="1" applyAlignment="1">
      <alignment horizontal="left"/>
    </xf>
    <xf numFmtId="0" fontId="2" fillId="0" borderId="28" xfId="0" applyFont="1" applyBorder="1" applyAlignment="1">
      <alignment horizontal="left" vertical="center" wrapText="1" indent="1"/>
    </xf>
    <xf numFmtId="0" fontId="21" fillId="0" borderId="29" xfId="0" applyFont="1" applyBorder="1" applyAlignment="1">
      <alignment horizontal="left" vertical="center" wrapText="1" indent="1"/>
    </xf>
    <xf numFmtId="0" fontId="21" fillId="0" borderId="30"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12" fillId="2" borderId="0" xfId="0" applyFont="1" applyFill="1" applyAlignment="1">
      <alignment horizontal="center" vertical="center" wrapText="1"/>
    </xf>
    <xf numFmtId="0" fontId="14" fillId="2" borderId="0" xfId="0" applyFont="1" applyFill="1" applyAlignment="1">
      <alignment horizontal="center" vertical="center" wrapText="1"/>
    </xf>
    <xf numFmtId="0" fontId="13" fillId="2" borderId="0" xfId="2" applyFont="1" applyFill="1" applyAlignment="1">
      <alignment horizontal="center" vertical="center" wrapText="1"/>
    </xf>
    <xf numFmtId="0" fontId="37" fillId="0" borderId="0" xfId="2" applyFont="1" applyAlignment="1">
      <alignment horizontal="center" wrapText="1"/>
    </xf>
    <xf numFmtId="0" fontId="38" fillId="0" borderId="0" xfId="2" applyFont="1" applyAlignment="1">
      <alignment horizont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3" fillId="2" borderId="0" xfId="0" applyFont="1" applyFill="1" applyAlignment="1">
      <alignment horizontal="center" vertical="center" wrapText="1"/>
    </xf>
    <xf numFmtId="0" fontId="36" fillId="0" borderId="8" xfId="2" applyFont="1" applyBorder="1" applyAlignment="1">
      <alignment horizontal="center" vertical="top" wrapText="1"/>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N70" lockText="1"/>
</file>

<file path=xl/ctrlProps/ctrlProp10.xml><?xml version="1.0" encoding="utf-8"?>
<formControlPr xmlns="http://schemas.microsoft.com/office/spreadsheetml/2009/9/main" objectType="CheckBox" fmlaLink="$N99" lockText="1"/>
</file>

<file path=xl/ctrlProps/ctrlProp11.xml><?xml version="1.0" encoding="utf-8"?>
<formControlPr xmlns="http://schemas.microsoft.com/office/spreadsheetml/2009/9/main" objectType="CheckBox" fmlaLink="$N100" lockText="1"/>
</file>

<file path=xl/ctrlProps/ctrlProp2.xml><?xml version="1.0" encoding="utf-8"?>
<formControlPr xmlns="http://schemas.microsoft.com/office/spreadsheetml/2009/9/main" objectType="CheckBox" fmlaLink="$N71" lockText="1"/>
</file>

<file path=xl/ctrlProps/ctrlProp3.xml><?xml version="1.0" encoding="utf-8"?>
<formControlPr xmlns="http://schemas.microsoft.com/office/spreadsheetml/2009/9/main" objectType="CheckBox" fmlaLink="$N80" lockText="1"/>
</file>

<file path=xl/ctrlProps/ctrlProp4.xml><?xml version="1.0" encoding="utf-8"?>
<formControlPr xmlns="http://schemas.microsoft.com/office/spreadsheetml/2009/9/main" objectType="CheckBox" fmlaLink="$N81" lockText="1"/>
</file>

<file path=xl/ctrlProps/ctrlProp5.xml><?xml version="1.0" encoding="utf-8"?>
<formControlPr xmlns="http://schemas.microsoft.com/office/spreadsheetml/2009/9/main" objectType="CheckBox" fmlaLink="$N109" lockText="1"/>
</file>

<file path=xl/ctrlProps/ctrlProp6.xml><?xml version="1.0" encoding="utf-8"?>
<formControlPr xmlns="http://schemas.microsoft.com/office/spreadsheetml/2009/9/main" objectType="CheckBox" fmlaLink="$N110" lockText="1"/>
</file>

<file path=xl/ctrlProps/ctrlProp7.xml><?xml version="1.0" encoding="utf-8"?>
<formControlPr xmlns="http://schemas.microsoft.com/office/spreadsheetml/2009/9/main" objectType="CheckBox" fmlaLink="$N82" lockText="1"/>
</file>

<file path=xl/ctrlProps/ctrlProp8.xml><?xml version="1.0" encoding="utf-8"?>
<formControlPr xmlns="http://schemas.microsoft.com/office/spreadsheetml/2009/9/main" objectType="CheckBox" fmlaLink="$N21" lockText="1"/>
</file>

<file path=xl/ctrlProps/ctrlProp9.xml><?xml version="1.0" encoding="utf-8"?>
<formControlPr xmlns="http://schemas.microsoft.com/office/spreadsheetml/2009/9/main" objectType="CheckBox" fmlaLink="$N$20"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69</xdr:row>
          <xdr:rowOff>7620</xdr:rowOff>
        </xdr:from>
        <xdr:to>
          <xdr:col>3</xdr:col>
          <xdr:colOff>502920</xdr:colOff>
          <xdr:row>69</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70</xdr:row>
          <xdr:rowOff>7620</xdr:rowOff>
        </xdr:from>
        <xdr:to>
          <xdr:col>3</xdr:col>
          <xdr:colOff>525780</xdr:colOff>
          <xdr:row>71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79</xdr:row>
          <xdr:rowOff>7620</xdr:rowOff>
        </xdr:from>
        <xdr:to>
          <xdr:col>3</xdr:col>
          <xdr:colOff>525780</xdr:colOff>
          <xdr:row>80</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80</xdr:row>
          <xdr:rowOff>7620</xdr:rowOff>
        </xdr:from>
        <xdr:to>
          <xdr:col>3</xdr:col>
          <xdr:colOff>525780</xdr:colOff>
          <xdr:row>81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98</xdr:row>
          <xdr:rowOff>7620</xdr:rowOff>
        </xdr:from>
        <xdr:to>
          <xdr:col>3</xdr:col>
          <xdr:colOff>525780</xdr:colOff>
          <xdr:row>99</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108</xdr:row>
          <xdr:rowOff>7620</xdr:rowOff>
        </xdr:from>
        <xdr:to>
          <xdr:col>3</xdr:col>
          <xdr:colOff>525780</xdr:colOff>
          <xdr:row>109</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109</xdr:row>
          <xdr:rowOff>7620</xdr:rowOff>
        </xdr:from>
        <xdr:to>
          <xdr:col>3</xdr:col>
          <xdr:colOff>525780</xdr:colOff>
          <xdr:row>110</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81</xdr:row>
          <xdr:rowOff>7620</xdr:rowOff>
        </xdr:from>
        <xdr:to>
          <xdr:col>3</xdr:col>
          <xdr:colOff>525780</xdr:colOff>
          <xdr:row>82</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3543300</xdr:colOff>
          <xdr:row>30</xdr:row>
          <xdr:rowOff>182880</xdr:rowOff>
        </xdr:from>
        <xdr:to>
          <xdr:col>2</xdr:col>
          <xdr:colOff>3962400</xdr:colOff>
          <xdr:row>31</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17</xdr:row>
          <xdr:rowOff>22860</xdr:rowOff>
        </xdr:from>
        <xdr:to>
          <xdr:col>5</xdr:col>
          <xdr:colOff>121920</xdr:colOff>
          <xdr:row>20</xdr:row>
          <xdr:rowOff>68580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99</xdr:row>
          <xdr:rowOff>7620</xdr:rowOff>
        </xdr:from>
        <xdr:to>
          <xdr:col>3</xdr:col>
          <xdr:colOff>525780</xdr:colOff>
          <xdr:row>100</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G23"/>
  <sheetViews>
    <sheetView showGridLines="0" workbookViewId="0">
      <selection activeCell="C5" sqref="C5"/>
    </sheetView>
  </sheetViews>
  <sheetFormatPr defaultColWidth="9" defaultRowHeight="14.4" x14ac:dyDescent="0.3"/>
  <cols>
    <col min="1" max="1" width="1.33203125" customWidth="1"/>
    <col min="2" max="2" width="22.33203125" customWidth="1"/>
    <col min="3" max="3" width="28" customWidth="1"/>
    <col min="4" max="4" width="30.44140625" customWidth="1"/>
    <col min="5" max="7" width="18.88671875" hidden="1" customWidth="1"/>
  </cols>
  <sheetData>
    <row r="1" spans="2:7" ht="18" x14ac:dyDescent="0.35">
      <c r="B1" s="126" t="s">
        <v>141</v>
      </c>
      <c r="C1" s="126"/>
      <c r="D1" s="126"/>
      <c r="F1" s="106">
        <v>44926</v>
      </c>
    </row>
    <row r="2" spans="2:7" ht="18" x14ac:dyDescent="0.35">
      <c r="B2" s="41"/>
      <c r="C2" s="41"/>
      <c r="D2" s="41"/>
      <c r="F2" s="106">
        <v>44592</v>
      </c>
    </row>
    <row r="3" spans="2:7" ht="18" x14ac:dyDescent="0.35">
      <c r="B3" s="42" t="s">
        <v>102</v>
      </c>
      <c r="C3" s="41"/>
      <c r="D3" s="41"/>
      <c r="F3" s="106">
        <v>44620</v>
      </c>
    </row>
    <row r="4" spans="2:7" ht="9.6" customHeight="1" x14ac:dyDescent="0.3">
      <c r="F4" s="106">
        <v>44651</v>
      </c>
    </row>
    <row r="5" spans="2:7" x14ac:dyDescent="0.3">
      <c r="B5" t="s">
        <v>101</v>
      </c>
      <c r="C5" s="102"/>
      <c r="D5" s="40"/>
      <c r="F5" s="106">
        <v>44681</v>
      </c>
    </row>
    <row r="6" spans="2:7" ht="9.6" customHeight="1" x14ac:dyDescent="0.3">
      <c r="C6" s="40"/>
      <c r="D6" s="40"/>
      <c r="F6" s="106">
        <v>44712</v>
      </c>
    </row>
    <row r="7" spans="2:7" x14ac:dyDescent="0.3">
      <c r="B7" t="s">
        <v>26</v>
      </c>
      <c r="C7" s="102"/>
      <c r="D7" s="40"/>
      <c r="F7" s="106">
        <v>44742</v>
      </c>
    </row>
    <row r="8" spans="2:7" ht="9.6" customHeight="1" x14ac:dyDescent="0.3">
      <c r="D8" s="40"/>
      <c r="F8" s="106">
        <v>44773</v>
      </c>
    </row>
    <row r="9" spans="2:7" x14ac:dyDescent="0.3">
      <c r="B9" t="s">
        <v>112</v>
      </c>
      <c r="C9" s="103"/>
      <c r="D9" s="40"/>
      <c r="F9" s="106">
        <v>44804</v>
      </c>
    </row>
    <row r="10" spans="2:7" ht="9.6" customHeight="1" x14ac:dyDescent="0.3">
      <c r="C10" s="40"/>
      <c r="D10" s="40"/>
      <c r="F10" s="106">
        <v>44834</v>
      </c>
    </row>
    <row r="11" spans="2:7" x14ac:dyDescent="0.3">
      <c r="B11" t="s">
        <v>27</v>
      </c>
      <c r="C11" s="103"/>
      <c r="D11" s="40"/>
      <c r="F11" s="106">
        <v>44865</v>
      </c>
    </row>
    <row r="12" spans="2:7" ht="27.9" customHeight="1" x14ac:dyDescent="0.3">
      <c r="F12" s="106">
        <v>44895</v>
      </c>
    </row>
    <row r="13" spans="2:7" ht="15.6" x14ac:dyDescent="0.3">
      <c r="B13" s="42" t="s">
        <v>57</v>
      </c>
      <c r="F13" s="106"/>
    </row>
    <row r="14" spans="2:7" ht="9.6" customHeight="1" x14ac:dyDescent="0.3"/>
    <row r="15" spans="2:7" ht="14.25" customHeight="1" x14ac:dyDescent="0.3">
      <c r="B15" s="127" t="s">
        <v>143</v>
      </c>
      <c r="C15" s="128"/>
      <c r="D15" s="128"/>
      <c r="G15" s="65"/>
    </row>
    <row r="16" spans="2:7" ht="23.1" customHeight="1" x14ac:dyDescent="0.3">
      <c r="B16" s="128" t="s">
        <v>58</v>
      </c>
      <c r="C16" s="128"/>
      <c r="D16" s="128"/>
    </row>
    <row r="17" spans="2:4" ht="30.75" customHeight="1" x14ac:dyDescent="0.3">
      <c r="B17" s="127" t="s">
        <v>204</v>
      </c>
      <c r="C17" s="128"/>
      <c r="D17" s="128"/>
    </row>
    <row r="18" spans="2:4" ht="40.5" customHeight="1" x14ac:dyDescent="0.3">
      <c r="B18" s="127" t="s">
        <v>203</v>
      </c>
      <c r="C18" s="127"/>
      <c r="D18" s="127"/>
    </row>
    <row r="19" spans="2:4" ht="23.1" customHeight="1" x14ac:dyDescent="0.3">
      <c r="B19" s="128" t="s">
        <v>106</v>
      </c>
      <c r="C19" s="128"/>
      <c r="D19" s="128"/>
    </row>
    <row r="21" spans="2:4" ht="15.6" x14ac:dyDescent="0.3">
      <c r="B21" s="66" t="s">
        <v>108</v>
      </c>
    </row>
    <row r="22" spans="2:4" ht="9.6" customHeight="1" x14ac:dyDescent="0.3"/>
    <row r="23" spans="2:4" ht="190.35" customHeight="1" x14ac:dyDescent="0.3">
      <c r="B23" s="124" t="s">
        <v>142</v>
      </c>
      <c r="C23" s="125"/>
      <c r="D23" s="125"/>
    </row>
  </sheetData>
  <sheetProtection algorithmName="SHA-512" hashValue="KhOZYz6Zsg7OlChJWBn4+HxT7D4B9poIplFR8kMNnm9L05nasj6RqvollieH91knHwRZp/obPUlNqgd2I7T+0w==" saltValue="37sYu7qIpFejLkhRWLpT9w==" spinCount="100000"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xr:uid="{00000000-0002-0000-0000-000000000000}">
      <formula1>0</formula1>
      <formula2>40</formula2>
    </dataValidation>
    <dataValidation type="whole" allowBlank="1" showInputMessage="1" showErrorMessage="1" sqref="C5" xr:uid="{00000000-0002-0000-0000-000001000000}">
      <formula1>1</formula1>
      <formula2>9999</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K132"/>
  <sheetViews>
    <sheetView showGridLines="0" topLeftCell="A6" zoomScaleNormal="100" workbookViewId="0">
      <selection activeCell="D27" sqref="D27"/>
    </sheetView>
  </sheetViews>
  <sheetFormatPr defaultColWidth="9" defaultRowHeight="14.4" x14ac:dyDescent="0.3"/>
  <cols>
    <col min="1" max="1" width="4.33203125" customWidth="1"/>
    <col min="2" max="2" width="26" customWidth="1"/>
    <col min="3" max="3" width="60.109375" customWidth="1"/>
    <col min="4" max="4" width="9.109375" customWidth="1"/>
    <col min="5" max="5" width="1.6640625" customWidth="1"/>
    <col min="6" max="6" width="9.109375" customWidth="1"/>
    <col min="7" max="7" width="1.6640625" style="3" customWidth="1"/>
    <col min="8" max="10" width="8.6640625" customWidth="1"/>
    <col min="11" max="11" width="8.6640625" style="4" hidden="1" customWidth="1"/>
    <col min="12" max="14" width="8.6640625" style="5" hidden="1" customWidth="1"/>
    <col min="15" max="15" width="8.6640625" hidden="1" customWidth="1"/>
    <col min="16" max="37" width="9" style="123"/>
  </cols>
  <sheetData>
    <row r="1" spans="1:37" ht="15.6" x14ac:dyDescent="0.3">
      <c r="A1" s="138" t="str">
        <f>"2022 Journey to Excellence - Troop "&amp;'Setup &amp; Instructions'!C5&amp;" - "&amp;'Setup &amp; Instructions'!C7&amp;" District"</f>
        <v>2022 Journey to Excellence - Troop  -  District</v>
      </c>
      <c r="B1" s="138"/>
      <c r="C1" s="138"/>
      <c r="D1" s="138"/>
      <c r="E1" s="138"/>
      <c r="F1" s="138"/>
      <c r="G1" s="138"/>
      <c r="H1" s="138"/>
      <c r="I1" s="138"/>
      <c r="J1" s="138"/>
      <c r="K1" s="119"/>
      <c r="L1" s="120"/>
      <c r="M1" s="120"/>
      <c r="N1" s="120"/>
      <c r="O1" s="121"/>
    </row>
    <row r="2" spans="1:37" s="5" customFormat="1" ht="13.65" customHeight="1" x14ac:dyDescent="0.3">
      <c r="A2" s="139" t="str">
        <f>IF('Setup &amp; Instructions'!C11="","",'Setup &amp; Instructions'!C11)</f>
        <v/>
      </c>
      <c r="B2" s="139"/>
      <c r="C2" s="139"/>
      <c r="D2" s="139"/>
      <c r="E2" s="139"/>
      <c r="F2" s="139"/>
      <c r="G2" s="139"/>
      <c r="H2" s="139"/>
      <c r="I2" s="139"/>
      <c r="J2" s="139"/>
      <c r="K2" s="4"/>
      <c r="P2" s="101"/>
      <c r="Q2" s="101"/>
      <c r="R2" s="101"/>
      <c r="S2" s="101"/>
      <c r="T2" s="101"/>
      <c r="U2" s="101"/>
      <c r="V2" s="101"/>
      <c r="W2" s="101"/>
      <c r="X2" s="101"/>
      <c r="Y2" s="101"/>
      <c r="Z2" s="101"/>
      <c r="AA2" s="101"/>
      <c r="AB2" s="101"/>
      <c r="AC2" s="101"/>
      <c r="AD2" s="101"/>
      <c r="AE2" s="101"/>
      <c r="AF2" s="101"/>
      <c r="AG2" s="101"/>
      <c r="AH2" s="101"/>
      <c r="AI2" s="101"/>
      <c r="AJ2" s="101"/>
      <c r="AK2" s="101"/>
    </row>
    <row r="3" spans="1:37" ht="18.600000000000001" customHeight="1" thickBot="1" x14ac:dyDescent="0.35">
      <c r="A3" s="6"/>
    </row>
    <row r="4" spans="1:37" ht="27.9" customHeight="1" thickBot="1" x14ac:dyDescent="0.35">
      <c r="A4" s="87" t="s">
        <v>4</v>
      </c>
      <c r="B4" s="88" t="s">
        <v>0</v>
      </c>
      <c r="C4" s="89" t="s">
        <v>5</v>
      </c>
      <c r="D4" s="90" t="s">
        <v>7</v>
      </c>
      <c r="E4" s="91"/>
      <c r="F4" s="90" t="s">
        <v>6</v>
      </c>
      <c r="G4" s="92"/>
      <c r="H4" s="87" t="s">
        <v>1</v>
      </c>
      <c r="I4" s="87" t="s">
        <v>2</v>
      </c>
      <c r="J4" s="87" t="s">
        <v>3</v>
      </c>
    </row>
    <row r="5" spans="1:37" ht="15" customHeight="1" thickBot="1" x14ac:dyDescent="0.35">
      <c r="A5" s="93"/>
      <c r="B5" s="94" t="s">
        <v>22</v>
      </c>
      <c r="C5" s="95"/>
      <c r="D5" s="95"/>
      <c r="E5" s="95"/>
      <c r="F5" s="95"/>
      <c r="G5" s="95"/>
      <c r="H5" s="95"/>
      <c r="I5" s="95"/>
      <c r="J5" s="96"/>
    </row>
    <row r="6" spans="1:37" ht="6.75" customHeight="1" x14ac:dyDescent="0.3">
      <c r="A6" s="132">
        <v>1</v>
      </c>
      <c r="B6" s="135" t="s">
        <v>184</v>
      </c>
      <c r="C6" s="7"/>
      <c r="D6" s="8"/>
      <c r="E6" s="8"/>
      <c r="F6" s="8"/>
      <c r="G6" s="9"/>
      <c r="H6" s="129" t="str">
        <f>IF(K10=1,K7,IF(K10=101,K7,""))</f>
        <v/>
      </c>
      <c r="I6" s="129" t="str">
        <f>IF(K10=11,L7,"")</f>
        <v/>
      </c>
      <c r="J6" s="129" t="str">
        <f>IF(K10=111,M7,"")</f>
        <v/>
      </c>
    </row>
    <row r="7" spans="1:37" ht="15" customHeight="1" x14ac:dyDescent="0.3">
      <c r="A7" s="133"/>
      <c r="B7" s="136"/>
      <c r="C7" s="10" t="s">
        <v>62</v>
      </c>
      <c r="D7" s="1"/>
      <c r="E7" s="5"/>
      <c r="F7" s="5"/>
      <c r="G7" s="11"/>
      <c r="H7" s="130"/>
      <c r="I7" s="130"/>
      <c r="J7" s="130"/>
      <c r="K7" s="4">
        <v>50</v>
      </c>
      <c r="L7" s="5">
        <v>100</v>
      </c>
      <c r="M7" s="5">
        <v>200</v>
      </c>
    </row>
    <row r="8" spans="1:37" ht="15" customHeight="1" x14ac:dyDescent="0.3">
      <c r="A8" s="133"/>
      <c r="B8" s="136"/>
      <c r="C8" s="10" t="s">
        <v>63</v>
      </c>
      <c r="D8" s="1"/>
      <c r="E8" s="5"/>
      <c r="F8" s="5"/>
      <c r="G8" s="11"/>
      <c r="H8" s="130"/>
      <c r="I8" s="130"/>
      <c r="J8" s="130"/>
      <c r="L8" s="5">
        <v>6</v>
      </c>
      <c r="M8" s="99"/>
    </row>
    <row r="9" spans="1:37" ht="15" customHeight="1" x14ac:dyDescent="0.3">
      <c r="A9" s="133"/>
      <c r="B9" s="136"/>
      <c r="C9" s="10" t="s">
        <v>9</v>
      </c>
      <c r="D9" s="1"/>
      <c r="E9" s="5"/>
      <c r="F9" s="5"/>
      <c r="G9" s="11"/>
      <c r="H9" s="130"/>
      <c r="I9" s="130"/>
      <c r="J9" s="130"/>
    </row>
    <row r="10" spans="1:37" ht="15" customHeight="1" x14ac:dyDescent="0.3">
      <c r="A10" s="133"/>
      <c r="B10" s="136"/>
      <c r="C10" s="10" t="s">
        <v>10</v>
      </c>
      <c r="D10" s="1"/>
      <c r="E10" s="5"/>
      <c r="F10" s="5"/>
      <c r="G10" s="11"/>
      <c r="H10" s="130"/>
      <c r="I10" s="130"/>
      <c r="J10" s="130"/>
      <c r="K10" s="4">
        <f>IF(D7="",0,1)+IF(F15=L8,100,0)+IF(D8="",0,10)</f>
        <v>0</v>
      </c>
    </row>
    <row r="11" spans="1:37" ht="15" customHeight="1" x14ac:dyDescent="0.3">
      <c r="A11" s="133"/>
      <c r="B11" s="136"/>
      <c r="C11" s="10" t="s">
        <v>11</v>
      </c>
      <c r="D11" s="1"/>
      <c r="E11" s="5"/>
      <c r="F11" s="5"/>
      <c r="G11" s="11"/>
      <c r="H11" s="130"/>
      <c r="I11" s="130"/>
      <c r="J11" s="130"/>
    </row>
    <row r="12" spans="1:37" ht="15" customHeight="1" x14ac:dyDescent="0.3">
      <c r="A12" s="133"/>
      <c r="B12" s="136"/>
      <c r="C12" s="10" t="s">
        <v>12</v>
      </c>
      <c r="D12" s="1"/>
      <c r="E12" s="5"/>
      <c r="F12" s="5"/>
      <c r="G12" s="11"/>
      <c r="H12" s="130"/>
      <c r="I12" s="130"/>
      <c r="J12" s="130"/>
    </row>
    <row r="13" spans="1:37" ht="15" customHeight="1" x14ac:dyDescent="0.3">
      <c r="A13" s="133"/>
      <c r="B13" s="136"/>
      <c r="C13" s="10" t="s">
        <v>13</v>
      </c>
      <c r="D13" s="1"/>
      <c r="E13" s="5"/>
      <c r="F13" s="5"/>
      <c r="G13" s="11"/>
      <c r="H13" s="130"/>
      <c r="I13" s="130"/>
      <c r="J13" s="130"/>
    </row>
    <row r="14" spans="1:37" ht="15" customHeight="1" x14ac:dyDescent="0.3">
      <c r="A14" s="133"/>
      <c r="B14" s="136"/>
      <c r="C14" s="10" t="s">
        <v>14</v>
      </c>
      <c r="D14" s="1"/>
      <c r="E14" s="5"/>
      <c r="F14" s="5"/>
      <c r="G14" s="11"/>
      <c r="H14" s="130"/>
      <c r="I14" s="130"/>
      <c r="J14" s="130"/>
    </row>
    <row r="15" spans="1:37" ht="15" customHeight="1" x14ac:dyDescent="0.3">
      <c r="A15" s="133"/>
      <c r="B15" s="136"/>
      <c r="C15" s="10" t="s">
        <v>8</v>
      </c>
      <c r="D15" s="12"/>
      <c r="E15" s="5"/>
      <c r="F15" s="13">
        <f>IF(D9="",0,1)+IF(D10="",0,1)+IF(D11="",0,1)+IF(D12="",0,1)+IF(D13="",0,1)+IF(D14="",0,1)</f>
        <v>0</v>
      </c>
      <c r="G15" s="11"/>
      <c r="H15" s="130"/>
      <c r="I15" s="130"/>
      <c r="J15" s="130"/>
    </row>
    <row r="16" spans="1:37" ht="6.75" customHeight="1" thickBot="1" x14ac:dyDescent="0.35">
      <c r="A16" s="134"/>
      <c r="B16" s="137"/>
      <c r="C16" s="14"/>
      <c r="D16" s="15"/>
      <c r="E16" s="15"/>
      <c r="F16" s="15"/>
      <c r="G16" s="16"/>
      <c r="H16" s="131"/>
      <c r="I16" s="131"/>
      <c r="J16" s="131"/>
    </row>
    <row r="17" spans="1:15" ht="15" customHeight="1" thickBot="1" x14ac:dyDescent="0.35">
      <c r="A17" s="93"/>
      <c r="B17" s="94" t="s">
        <v>23</v>
      </c>
      <c r="C17" s="95"/>
      <c r="D17" s="95"/>
      <c r="E17" s="95"/>
      <c r="F17" s="95"/>
      <c r="G17" s="95"/>
      <c r="H17" s="95"/>
      <c r="I17" s="95"/>
      <c r="J17" s="96"/>
    </row>
    <row r="18" spans="1:15" ht="6.75" customHeight="1" x14ac:dyDescent="0.3">
      <c r="A18" s="132">
        <v>2</v>
      </c>
      <c r="B18" s="142" t="s">
        <v>185</v>
      </c>
      <c r="C18" s="7"/>
      <c r="D18" s="8"/>
      <c r="E18" s="8"/>
      <c r="F18" s="8"/>
      <c r="G18" s="9"/>
      <c r="H18" s="129" t="str">
        <f>IF(AND(build_silver_score="",build_gold_score=""),IF(bronze_met=TRUE,build_bronze_score,""),"")</f>
        <v/>
      </c>
      <c r="I18" s="129" t="str">
        <f>IF(AND(build_gold_score="",bronze_met=TRUE,recruitment_event&lt;&gt;"",OR(gain&gt;0,AND(num_scouts&lt;gold_auto_score,num_scouts&gt;=silver_auto_score))),build_silver_points,"")</f>
        <v/>
      </c>
      <c r="J18" s="129" t="str">
        <f>IF(AND(bronze_met=TRUE,OR(K24=111,num_scouts&gt;=gold_auto_score)),build_gold_points,"")</f>
        <v/>
      </c>
    </row>
    <row r="19" spans="1:15" ht="3" customHeight="1" x14ac:dyDescent="0.3">
      <c r="A19" s="133"/>
      <c r="B19" s="145"/>
      <c r="C19" s="109"/>
      <c r="G19" s="17"/>
      <c r="H19" s="130"/>
      <c r="I19" s="130"/>
      <c r="J19" s="130"/>
    </row>
    <row r="20" spans="1:15" ht="11.1" customHeight="1" x14ac:dyDescent="0.3">
      <c r="A20" s="133"/>
      <c r="B20" s="145"/>
      <c r="C20" s="140" t="s">
        <v>135</v>
      </c>
      <c r="D20" s="141"/>
      <c r="G20" s="17"/>
      <c r="H20" s="130"/>
      <c r="I20" s="130"/>
      <c r="J20" s="130"/>
      <c r="N20" s="101" t="b">
        <v>0</v>
      </c>
    </row>
    <row r="21" spans="1:15" ht="15" customHeight="1" x14ac:dyDescent="0.3">
      <c r="A21" s="133"/>
      <c r="B21" s="145"/>
      <c r="C21" s="113" t="s">
        <v>134</v>
      </c>
      <c r="D21" s="1"/>
      <c r="G21" s="17"/>
      <c r="H21" s="130"/>
      <c r="I21" s="130"/>
      <c r="J21" s="130"/>
      <c r="K21" s="4">
        <v>50</v>
      </c>
      <c r="L21" s="5">
        <v>100</v>
      </c>
      <c r="M21" s="5">
        <v>200</v>
      </c>
      <c r="N21" s="101" t="b">
        <v>0</v>
      </c>
    </row>
    <row r="22" spans="1:15" ht="15" customHeight="1" x14ac:dyDescent="0.3">
      <c r="A22" s="133"/>
      <c r="B22" s="143"/>
      <c r="C22" s="20" t="str">
        <f>IF('Setup &amp; Instructions'!C9=44561," Count: Number of Scouts registered at start of this year's charter (1/1/2021)"," Count: Number of Scouts registered at start of this year's charter ("&amp;MONTH('Setup &amp; Instructions'!C9+1)&amp;"/"&amp;DAY('Setup &amp; Instructions'!C9+1)&amp;"/"&amp;YEAR('Setup &amp; Instructions'!C9)-1&amp;")")</f>
        <v xml:space="preserve"> Count: Number of Scouts registered at start of this year's charter (1/1/1899)</v>
      </c>
      <c r="D22" s="2"/>
      <c r="E22" s="5" t="s">
        <v>123</v>
      </c>
      <c r="F22" s="5"/>
      <c r="G22" s="11"/>
      <c r="H22" s="130"/>
      <c r="I22" s="130"/>
      <c r="J22" s="130"/>
      <c r="K22" s="100"/>
      <c r="M22" s="5">
        <v>0.05</v>
      </c>
      <c r="N22" s="5" t="b">
        <f>IF(AND(beascout_flag=TRUE, recruitment_event&lt;&gt;""),TRUE,FALSE)</f>
        <v>0</v>
      </c>
    </row>
    <row r="23" spans="1:15" ht="15" hidden="1" customHeight="1" x14ac:dyDescent="0.3">
      <c r="A23" s="133"/>
      <c r="B23" s="143"/>
      <c r="C23" s="6" t="s">
        <v>131</v>
      </c>
      <c r="D23" s="116"/>
      <c r="E23" s="5" t="s">
        <v>124</v>
      </c>
      <c r="F23" s="5"/>
      <c r="G23" s="11"/>
      <c r="H23" s="130"/>
      <c r="I23" s="130"/>
      <c r="J23" s="130"/>
      <c r="K23" s="4">
        <v>1</v>
      </c>
      <c r="L23" s="5">
        <v>25</v>
      </c>
      <c r="M23" s="5">
        <v>35</v>
      </c>
      <c r="O23" s="121"/>
    </row>
    <row r="24" spans="1:15" ht="15" customHeight="1" x14ac:dyDescent="0.3">
      <c r="A24" s="133"/>
      <c r="B24" s="143"/>
      <c r="C24" s="6" t="str">
        <f>IF($N$20,"    Less: Transfers to other units during the year","")</f>
        <v/>
      </c>
      <c r="D24" s="110"/>
      <c r="E24" s="5" t="str">
        <f>IF($N$20,"B","")</f>
        <v/>
      </c>
      <c r="F24" s="5" t="str">
        <f>IF(AND($N$20=FALSE,D24&gt;0),"ERROR","")</f>
        <v/>
      </c>
      <c r="G24" s="11"/>
      <c r="H24" s="130"/>
      <c r="I24" s="130"/>
      <c r="J24" s="130"/>
      <c r="K24" s="4">
        <f>IF(AND(D21&lt;&gt;"",num_scouts&gt;D22),1,0)+IF(OR(F31&gt;=L22,D30&gt;=L23),10,0)+IF(OR(F31&gt;=M22,D30&gt;=M23),100,0)</f>
        <v>10</v>
      </c>
      <c r="L24" s="107">
        <f>(D23+D24)</f>
        <v>0</v>
      </c>
    </row>
    <row r="25" spans="1:15" ht="15" customHeight="1" x14ac:dyDescent="0.3">
      <c r="A25" s="133"/>
      <c r="B25" s="143"/>
      <c r="C25" s="111" t="s">
        <v>130</v>
      </c>
      <c r="D25" s="2"/>
      <c r="E25" s="5" t="s">
        <v>138</v>
      </c>
      <c r="F25" s="5"/>
      <c r="G25" s="11"/>
      <c r="H25" s="130"/>
      <c r="I25" s="130"/>
      <c r="J25" s="130"/>
      <c r="L25" s="107"/>
    </row>
    <row r="26" spans="1:15" ht="15" customHeight="1" x14ac:dyDescent="0.3">
      <c r="A26" s="133"/>
      <c r="B26" s="143"/>
      <c r="C26" s="117" t="s">
        <v>202</v>
      </c>
      <c r="D26" s="2"/>
      <c r="E26" s="5" t="s">
        <v>125</v>
      </c>
      <c r="F26" s="5"/>
      <c r="G26" s="11"/>
      <c r="H26" s="130"/>
      <c r="I26" s="130"/>
      <c r="J26" s="130"/>
      <c r="K26" s="4">
        <f>IF(AND((N21=TRUE),(D21&lt;&gt;"")),1,0)</f>
        <v>0</v>
      </c>
      <c r="L26" s="107">
        <f>(D26+D27+D28)</f>
        <v>0</v>
      </c>
    </row>
    <row r="27" spans="1:15" ht="15" customHeight="1" x14ac:dyDescent="0.3">
      <c r="A27" s="133"/>
      <c r="B27" s="143"/>
      <c r="C27" s="111" t="s">
        <v>140</v>
      </c>
      <c r="D27" s="2"/>
      <c r="E27" s="5" t="s">
        <v>126</v>
      </c>
      <c r="F27" s="5"/>
      <c r="G27" s="11"/>
      <c r="H27" s="130"/>
      <c r="I27" s="130"/>
      <c r="J27" s="130"/>
      <c r="L27" s="122">
        <f>D30-D22</f>
        <v>0</v>
      </c>
    </row>
    <row r="28" spans="1:15" ht="15" customHeight="1" x14ac:dyDescent="0.3">
      <c r="A28" s="133"/>
      <c r="B28" s="143"/>
      <c r="C28" s="111" t="str">
        <f>IF($N$20,"    Plus: Transfers from other units during the year","")</f>
        <v/>
      </c>
      <c r="D28" s="110"/>
      <c r="E28" s="5" t="str">
        <f>IF($N$20,"F","")</f>
        <v/>
      </c>
      <c r="F28" s="5" t="str">
        <f>IF(AND($N$20=FALSE,D28&gt;0),"ERROR","")</f>
        <v/>
      </c>
      <c r="G28" s="11"/>
      <c r="H28" s="130"/>
      <c r="I28" s="130"/>
      <c r="J28" s="130"/>
    </row>
    <row r="29" spans="1:15" ht="15" customHeight="1" x14ac:dyDescent="0.3">
      <c r="A29" s="133"/>
      <c r="B29" s="143"/>
      <c r="C29" s="105" t="str">
        <f>" Count: Number of Scouts registered at end of this year's charter ("&amp;MONTH('Setup &amp; Instructions'!C9)&amp;"/"&amp;DAY('Setup &amp; Instructions'!C9)&amp;"/"&amp;YEAR('Setup &amp; Instructions'!C9)&amp;")"</f>
        <v xml:space="preserve"> Count: Number of Scouts registered at end of this year's charter (1/0/1900)</v>
      </c>
      <c r="D29" s="24"/>
      <c r="E29" s="5" t="s">
        <v>137</v>
      </c>
      <c r="F29" s="108">
        <f>D22+SUM(D26,D27,D28)-D24</f>
        <v>0</v>
      </c>
      <c r="G29" s="11"/>
      <c r="H29" s="130"/>
      <c r="I29" s="130"/>
      <c r="J29" s="130"/>
    </row>
    <row r="30" spans="1:15" ht="26.25" customHeight="1" x14ac:dyDescent="0.3">
      <c r="A30" s="133"/>
      <c r="B30" s="143"/>
      <c r="C30" s="114" t="str">
        <f>IF('Setup &amp; Instructions'!C9=44561," Count: Number of Scouts to be registered at the start of next year's charter (1/1/2022) including new applications submitted with charter renewal"," Count: Number of Scouts to be registered at the start of next year's charter ("&amp;MONTH('Setup &amp; Instructions'!C9+1)&amp;"/"&amp;DAY('Setup &amp; Instructions'!C9+1)&amp;"/"&amp;YEAR('Setup &amp; Instructions'!C9)&amp;") including new applications submitted with charter renewal")</f>
        <v xml:space="preserve"> Count: Number of Scouts to be registered at the start of next year's charter (1/1/1900) including new applications submitted with charter renewal</v>
      </c>
      <c r="D30" s="115"/>
      <c r="E30" s="5" t="s">
        <v>128</v>
      </c>
      <c r="F30" s="5"/>
      <c r="G30" s="11"/>
      <c r="H30" s="130"/>
      <c r="I30" s="130"/>
      <c r="J30" s="130"/>
    </row>
    <row r="31" spans="1:15" ht="15" customHeight="1" x14ac:dyDescent="0.3">
      <c r="A31" s="133"/>
      <c r="B31" s="143"/>
      <c r="C31" s="23" t="s">
        <v>109</v>
      </c>
      <c r="E31" s="5"/>
      <c r="F31" s="19">
        <f>IF(D22=0,0,D30/D22-1)</f>
        <v>0</v>
      </c>
      <c r="G31" s="11"/>
      <c r="H31" s="130"/>
      <c r="I31" s="130"/>
      <c r="J31" s="130"/>
    </row>
    <row r="32" spans="1:15" ht="15" customHeight="1" thickBot="1" x14ac:dyDescent="0.35">
      <c r="A32" s="134"/>
      <c r="B32" s="144"/>
      <c r="C32" s="112" t="s">
        <v>122</v>
      </c>
      <c r="D32" s="15"/>
      <c r="E32" s="15"/>
      <c r="F32" s="15"/>
      <c r="G32" s="16"/>
      <c r="H32" s="131"/>
      <c r="I32" s="131"/>
      <c r="J32" s="131"/>
    </row>
    <row r="33" spans="1:13" ht="6.75" customHeight="1" x14ac:dyDescent="0.3">
      <c r="A33" s="132">
        <v>3</v>
      </c>
      <c r="B33" s="142" t="s">
        <v>186</v>
      </c>
      <c r="C33" s="7"/>
      <c r="D33" s="8"/>
      <c r="E33" s="8"/>
      <c r="F33" s="8"/>
      <c r="G33" s="9"/>
      <c r="H33" s="129" t="str">
        <f>IF(K37=1,K34,IF(K37=101,K34,""))</f>
        <v/>
      </c>
      <c r="I33" s="129" t="str">
        <f>IF(K37=11,L34,"")</f>
        <v/>
      </c>
      <c r="J33" s="129" t="str">
        <f>IF(K37=111,M34,"")</f>
        <v/>
      </c>
    </row>
    <row r="34" spans="1:13" ht="15" customHeight="1" x14ac:dyDescent="0.3">
      <c r="A34" s="133"/>
      <c r="B34" s="143"/>
      <c r="C34" s="23" t="str">
        <f>" Count: Number of Scouts to be registered at start of next year's charter ("&amp;MONTH('Setup &amp; Instructions'!C9+1)&amp;"/"&amp;DAY('Setup &amp; Instructions'!C9+1)&amp;"/"&amp;YEAR('Setup &amp; Instructions'!C9)&amp;")"</f>
        <v xml:space="preserve"> Count: Number of Scouts to be registered at start of next year's charter (1/1/1900)</v>
      </c>
      <c r="E34" s="5" t="s">
        <v>128</v>
      </c>
      <c r="F34" s="118">
        <f>D30</f>
        <v>0</v>
      </c>
      <c r="G34" s="11"/>
      <c r="H34" s="130"/>
      <c r="I34" s="130"/>
      <c r="J34" s="130"/>
      <c r="K34" s="4">
        <v>50</v>
      </c>
      <c r="L34" s="5">
        <v>100</v>
      </c>
      <c r="M34" s="5">
        <v>200</v>
      </c>
    </row>
    <row r="35" spans="1:13" ht="15" customHeight="1" x14ac:dyDescent="0.3">
      <c r="A35" s="133"/>
      <c r="B35" s="143"/>
      <c r="C35" s="23" t="str">
        <f>" Count: Number of NEW applications submitted with next year's charter "</f>
        <v xml:space="preserve"> Count: Number of NEW applications submitted with next year's charter </v>
      </c>
      <c r="D35" s="115"/>
      <c r="E35" s="5" t="s">
        <v>129</v>
      </c>
      <c r="F35" s="5"/>
      <c r="G35" s="11"/>
      <c r="H35" s="130"/>
      <c r="I35" s="130"/>
      <c r="J35" s="130"/>
      <c r="K35" s="5">
        <v>0.75</v>
      </c>
      <c r="L35" s="5">
        <v>0.8</v>
      </c>
      <c r="M35" s="5">
        <v>0.85</v>
      </c>
    </row>
    <row r="36" spans="1:13" ht="15" customHeight="1" x14ac:dyDescent="0.3">
      <c r="A36" s="133"/>
      <c r="B36" s="143"/>
      <c r="C36" s="5" t="s">
        <v>110</v>
      </c>
      <c r="E36" s="5" t="s">
        <v>136</v>
      </c>
      <c r="F36" s="13">
        <f>F29-D25</f>
        <v>0</v>
      </c>
      <c r="G36" s="11"/>
      <c r="H36" s="130"/>
      <c r="I36" s="130"/>
      <c r="J36" s="130"/>
      <c r="K36" s="5"/>
    </row>
    <row r="37" spans="1:13" ht="15" hidden="1" customHeight="1" x14ac:dyDescent="0.3">
      <c r="A37" s="133"/>
      <c r="B37" s="143"/>
      <c r="C37" s="5"/>
      <c r="G37" s="11"/>
      <c r="H37" s="130"/>
      <c r="I37" s="130"/>
      <c r="J37" s="130"/>
      <c r="K37" s="4">
        <f>IF(F38&gt;=K35,1,0)+IF(F38&gt;=L35,10,0)+IF(F38&gt;=M35,100,0)</f>
        <v>0</v>
      </c>
    </row>
    <row r="38" spans="1:13" ht="15" customHeight="1" x14ac:dyDescent="0.3">
      <c r="A38" s="133"/>
      <c r="B38" s="143"/>
      <c r="C38" s="6" t="s">
        <v>111</v>
      </c>
      <c r="D38" s="22"/>
      <c r="E38" s="5"/>
      <c r="F38" s="21">
        <f>IF(F36&lt;=0,0,IF(F34-D35&gt;=F36,1,(F34-D35)/F36))</f>
        <v>0</v>
      </c>
      <c r="G38" s="11"/>
      <c r="H38" s="130"/>
      <c r="I38" s="130"/>
      <c r="J38" s="130"/>
      <c r="M38" s="107">
        <f>D22-D24+D26+D27+D28-D25</f>
        <v>0</v>
      </c>
    </row>
    <row r="39" spans="1:13" ht="6.75" customHeight="1" thickBot="1" x14ac:dyDescent="0.35">
      <c r="A39" s="134"/>
      <c r="B39" s="144"/>
      <c r="C39" s="14"/>
      <c r="D39" s="15"/>
      <c r="E39" s="15"/>
      <c r="F39" s="15"/>
      <c r="G39" s="16"/>
      <c r="H39" s="131"/>
      <c r="I39" s="131"/>
      <c r="J39" s="131"/>
    </row>
    <row r="40" spans="1:13" ht="6.75" customHeight="1" x14ac:dyDescent="0.3">
      <c r="A40" s="132">
        <v>4</v>
      </c>
      <c r="B40" s="142" t="s">
        <v>187</v>
      </c>
      <c r="C40" s="7"/>
      <c r="D40" s="8"/>
      <c r="E40" s="8"/>
      <c r="F40" s="8"/>
      <c r="G40" s="9"/>
      <c r="H40" s="129" t="str">
        <f>IF(K44=1,K41,IF(K44=101,K41,""))</f>
        <v/>
      </c>
      <c r="I40" s="129" t="str">
        <f>IF(K44=11,L41,"")</f>
        <v/>
      </c>
      <c r="J40" s="129" t="str">
        <f>IF(K44=111,M41,"")</f>
        <v/>
      </c>
    </row>
    <row r="41" spans="1:13" ht="13.65" customHeight="1" x14ac:dyDescent="0.3">
      <c r="A41" s="133"/>
      <c r="B41" s="143"/>
      <c r="C41" s="113" t="s">
        <v>132</v>
      </c>
      <c r="D41" s="1"/>
      <c r="E41" s="5"/>
      <c r="F41" s="22"/>
      <c r="G41" s="11"/>
      <c r="H41" s="130"/>
      <c r="I41" s="130"/>
      <c r="J41" s="130"/>
      <c r="K41" s="4">
        <v>25</v>
      </c>
      <c r="L41" s="5">
        <v>50</v>
      </c>
      <c r="M41" s="5">
        <v>100</v>
      </c>
    </row>
    <row r="42" spans="1:13" x14ac:dyDescent="0.3">
      <c r="A42" s="133"/>
      <c r="B42" s="143"/>
      <c r="C42" s="113" t="s">
        <v>133</v>
      </c>
      <c r="D42" s="1"/>
      <c r="E42" s="5"/>
      <c r="F42" s="22"/>
      <c r="G42" s="11"/>
      <c r="H42" s="130"/>
      <c r="I42" s="130"/>
      <c r="J42" s="130"/>
      <c r="K42" s="5">
        <v>2</v>
      </c>
      <c r="L42" s="5">
        <v>2</v>
      </c>
      <c r="M42" s="5">
        <v>5</v>
      </c>
    </row>
    <row r="43" spans="1:13" x14ac:dyDescent="0.3">
      <c r="A43" s="133"/>
      <c r="B43" s="143"/>
      <c r="C43" s="4" t="s">
        <v>139</v>
      </c>
      <c r="D43" s="22"/>
      <c r="E43" s="5"/>
      <c r="F43" s="18">
        <f>D27</f>
        <v>0</v>
      </c>
      <c r="G43" s="11"/>
      <c r="H43" s="130"/>
      <c r="I43" s="130"/>
      <c r="J43" s="130"/>
      <c r="K43" s="5">
        <v>0.75</v>
      </c>
      <c r="M43" s="5">
        <v>1</v>
      </c>
    </row>
    <row r="44" spans="1:13" ht="13.65" customHeight="1" x14ac:dyDescent="0.3">
      <c r="A44" s="133"/>
      <c r="B44" s="143"/>
      <c r="C44" s="23" t="s">
        <v>64</v>
      </c>
      <c r="D44" s="2"/>
      <c r="E44" s="5"/>
      <c r="G44" s="11"/>
      <c r="H44" s="130"/>
      <c r="I44" s="130"/>
      <c r="J44" s="130"/>
      <c r="K44" s="4">
        <f>IF(OR(D41="",D42=""),0,1)+IF(F43&gt;=L42,10,0)+IF(AND(F43&gt;=M42,D44&gt;=M43),100,0)</f>
        <v>0</v>
      </c>
    </row>
    <row r="45" spans="1:13" ht="6.75" customHeight="1" thickBot="1" x14ac:dyDescent="0.35">
      <c r="A45" s="134"/>
      <c r="B45" s="144"/>
      <c r="C45" s="14"/>
      <c r="D45" s="15"/>
      <c r="E45" s="15"/>
      <c r="F45" s="15"/>
      <c r="G45" s="16"/>
      <c r="H45" s="131"/>
      <c r="I45" s="131"/>
      <c r="J45" s="131"/>
      <c r="K45" s="5"/>
    </row>
    <row r="46" spans="1:13" ht="15" customHeight="1" thickBot="1" x14ac:dyDescent="0.35">
      <c r="A46" s="93"/>
      <c r="B46" s="94" t="s">
        <v>25</v>
      </c>
      <c r="C46" s="95"/>
      <c r="D46" s="95"/>
      <c r="E46" s="95"/>
      <c r="F46" s="95"/>
      <c r="G46" s="95"/>
      <c r="H46" s="95"/>
      <c r="I46" s="95"/>
      <c r="J46" s="96"/>
      <c r="K46" s="5"/>
    </row>
    <row r="47" spans="1:13" ht="6.75" customHeight="1" x14ac:dyDescent="0.3">
      <c r="A47" s="132">
        <v>5</v>
      </c>
      <c r="B47" s="142" t="s">
        <v>188</v>
      </c>
      <c r="C47" s="7"/>
      <c r="D47" s="8"/>
      <c r="E47" s="8"/>
      <c r="F47" s="8"/>
      <c r="G47" s="9"/>
      <c r="H47" s="129" t="str">
        <f>IF(K50=1,K48,"")</f>
        <v/>
      </c>
      <c r="I47" s="129" t="str">
        <f>IF(K50=11,L48,"")</f>
        <v/>
      </c>
      <c r="J47" s="129" t="str">
        <f>IF(K50=111,M48,"")</f>
        <v/>
      </c>
    </row>
    <row r="48" spans="1:13" ht="14.25" customHeight="1" x14ac:dyDescent="0.3">
      <c r="A48" s="133"/>
      <c r="B48" s="145"/>
      <c r="C48" s="23" t="s">
        <v>201</v>
      </c>
      <c r="D48" s="2"/>
      <c r="E48" s="5"/>
      <c r="G48" s="17"/>
      <c r="H48" s="130"/>
      <c r="I48" s="130"/>
      <c r="J48" s="130"/>
      <c r="K48" s="4">
        <v>50</v>
      </c>
      <c r="L48" s="5">
        <v>100</v>
      </c>
      <c r="M48" s="5">
        <v>200</v>
      </c>
    </row>
    <row r="49" spans="1:13" ht="14.25" customHeight="1" x14ac:dyDescent="0.3">
      <c r="A49" s="133"/>
      <c r="B49" s="145"/>
      <c r="C49" s="23" t="s">
        <v>119</v>
      </c>
      <c r="D49" s="2"/>
      <c r="E49" s="5"/>
      <c r="G49" s="11"/>
      <c r="H49" s="130"/>
      <c r="I49" s="130"/>
      <c r="J49" s="130"/>
      <c r="K49" s="5">
        <v>0.4</v>
      </c>
      <c r="L49" s="5">
        <v>0.5</v>
      </c>
      <c r="M49" s="5">
        <v>0.6</v>
      </c>
    </row>
    <row r="50" spans="1:13" ht="13.65" customHeight="1" x14ac:dyDescent="0.3">
      <c r="A50" s="133"/>
      <c r="B50" s="145"/>
      <c r="C50" s="5" t="s">
        <v>113</v>
      </c>
      <c r="D50" s="22"/>
      <c r="E50" s="5"/>
      <c r="F50" s="21">
        <f>IF(D48=0,0,IF(D49&gt;D48,1,D49/D48))</f>
        <v>0</v>
      </c>
      <c r="G50" s="11"/>
      <c r="H50" s="130"/>
      <c r="I50" s="130"/>
      <c r="J50" s="130"/>
      <c r="K50" s="5">
        <f>IF(F50&gt;=K49,1,0)+IF(F50&gt;=L49,10,0)+IF(F50&gt;=M49,100,0)</f>
        <v>0</v>
      </c>
    </row>
    <row r="51" spans="1:13" ht="6.75" customHeight="1" thickBot="1" x14ac:dyDescent="0.35">
      <c r="A51" s="134"/>
      <c r="B51" s="146"/>
      <c r="C51" s="14"/>
      <c r="D51" s="15"/>
      <c r="E51" s="15"/>
      <c r="F51" s="15"/>
      <c r="G51" s="16"/>
      <c r="H51" s="131"/>
      <c r="I51" s="131"/>
      <c r="J51" s="131"/>
    </row>
    <row r="52" spans="1:13" ht="6.75" customHeight="1" x14ac:dyDescent="0.3">
      <c r="A52" s="132">
        <v>6</v>
      </c>
      <c r="B52" s="135" t="s">
        <v>189</v>
      </c>
      <c r="C52" s="7"/>
      <c r="D52" s="8"/>
      <c r="E52" s="8"/>
      <c r="F52" s="8"/>
      <c r="G52" s="9"/>
      <c r="H52" s="129" t="str">
        <f>IF(K55=1,K53,"")</f>
        <v/>
      </c>
      <c r="I52" s="129" t="str">
        <f>IF(K55=11,L53,"")</f>
        <v/>
      </c>
      <c r="J52" s="129" t="str">
        <f>IF(K55=111,M53,"")</f>
        <v/>
      </c>
    </row>
    <row r="53" spans="1:13" ht="14.25" customHeight="1" x14ac:dyDescent="0.3">
      <c r="A53" s="133"/>
      <c r="B53" s="136"/>
      <c r="C53" s="20" t="s">
        <v>65</v>
      </c>
      <c r="D53" s="1"/>
      <c r="E53" s="5"/>
      <c r="F53" s="5"/>
      <c r="G53" s="11"/>
      <c r="H53" s="130"/>
      <c r="I53" s="130"/>
      <c r="J53" s="130"/>
      <c r="K53" s="4">
        <v>50</v>
      </c>
      <c r="L53" s="5">
        <v>100</v>
      </c>
      <c r="M53" s="5">
        <v>200</v>
      </c>
    </row>
    <row r="54" spans="1:13" x14ac:dyDescent="0.3">
      <c r="A54" s="133"/>
      <c r="B54" s="136"/>
      <c r="C54" s="20" t="s">
        <v>66</v>
      </c>
      <c r="D54" s="1"/>
      <c r="E54" s="5"/>
      <c r="F54" s="5"/>
      <c r="G54" s="11"/>
      <c r="H54" s="130"/>
      <c r="I54" s="130"/>
      <c r="J54" s="130"/>
      <c r="K54" s="5">
        <v>4</v>
      </c>
      <c r="L54" s="5">
        <v>7</v>
      </c>
      <c r="M54" s="5">
        <v>9</v>
      </c>
    </row>
    <row r="55" spans="1:13" x14ac:dyDescent="0.3">
      <c r="A55" s="133"/>
      <c r="B55" s="136"/>
      <c r="C55" s="20" t="s">
        <v>67</v>
      </c>
      <c r="D55" s="1"/>
      <c r="E55" s="5"/>
      <c r="F55" s="5"/>
      <c r="G55" s="11"/>
      <c r="H55" s="130"/>
      <c r="I55" s="130"/>
      <c r="J55" s="130"/>
      <c r="K55" s="4">
        <f>IF(F62&gt;=K54,1,0)+IF(F62&gt;=L54,10,0)+IF(F62&gt;=M54,100,0)</f>
        <v>0</v>
      </c>
    </row>
    <row r="56" spans="1:13" x14ac:dyDescent="0.3">
      <c r="A56" s="133"/>
      <c r="B56" s="136"/>
      <c r="C56" s="20" t="s">
        <v>68</v>
      </c>
      <c r="D56" s="1"/>
      <c r="E56" s="5"/>
      <c r="F56" s="5"/>
      <c r="G56" s="11"/>
      <c r="H56" s="130"/>
      <c r="I56" s="130"/>
      <c r="J56" s="130"/>
    </row>
    <row r="57" spans="1:13" x14ac:dyDescent="0.3">
      <c r="A57" s="133"/>
      <c r="B57" s="136"/>
      <c r="C57" s="20" t="s">
        <v>69</v>
      </c>
      <c r="D57" s="1"/>
      <c r="E57" s="5"/>
      <c r="F57" s="5"/>
      <c r="G57" s="11"/>
      <c r="H57" s="130"/>
      <c r="I57" s="130"/>
      <c r="J57" s="130"/>
    </row>
    <row r="58" spans="1:13" x14ac:dyDescent="0.3">
      <c r="A58" s="133"/>
      <c r="B58" s="136"/>
      <c r="C58" s="20" t="s">
        <v>70</v>
      </c>
      <c r="D58" s="1"/>
      <c r="E58" s="5"/>
      <c r="F58" s="5"/>
      <c r="G58" s="11"/>
      <c r="H58" s="130"/>
      <c r="I58" s="130"/>
      <c r="J58" s="130"/>
    </row>
    <row r="59" spans="1:13" x14ac:dyDescent="0.3">
      <c r="A59" s="133"/>
      <c r="B59" s="136"/>
      <c r="C59" s="20" t="s">
        <v>71</v>
      </c>
      <c r="D59" s="1"/>
      <c r="E59" s="5"/>
      <c r="F59" s="5"/>
      <c r="G59" s="11"/>
      <c r="H59" s="130"/>
      <c r="I59" s="130"/>
      <c r="J59" s="130"/>
    </row>
    <row r="60" spans="1:13" x14ac:dyDescent="0.3">
      <c r="A60" s="133"/>
      <c r="B60" s="136"/>
      <c r="C60" s="20" t="s">
        <v>72</v>
      </c>
      <c r="D60" s="1"/>
      <c r="E60" s="5"/>
      <c r="F60" s="5"/>
      <c r="G60" s="11"/>
      <c r="H60" s="130"/>
      <c r="I60" s="130"/>
      <c r="J60" s="130"/>
    </row>
    <row r="61" spans="1:13" x14ac:dyDescent="0.3">
      <c r="A61" s="133"/>
      <c r="B61" s="136"/>
      <c r="C61" s="20" t="s">
        <v>73</v>
      </c>
      <c r="D61" s="1"/>
      <c r="E61" s="5"/>
      <c r="F61" s="5"/>
      <c r="G61" s="11"/>
      <c r="H61" s="130"/>
      <c r="I61" s="130"/>
      <c r="J61" s="130"/>
    </row>
    <row r="62" spans="1:13" x14ac:dyDescent="0.3">
      <c r="A62" s="133"/>
      <c r="B62" s="136"/>
      <c r="C62" s="10" t="s">
        <v>74</v>
      </c>
      <c r="D62" s="12"/>
      <c r="E62" s="5"/>
      <c r="F62" s="13">
        <f>IF(D53="",0,1)+IF(D54="",0,1)+IF(D55="",0,1)++IF(D56="",0,1)+IF(D57="",0,1)+IF(D58="",0,1)+IF(D59="",0,1)+IF(D60="",0,1)+IF(D61="",0,1)</f>
        <v>0</v>
      </c>
      <c r="G62" s="11"/>
      <c r="H62" s="130"/>
      <c r="I62" s="130"/>
      <c r="J62" s="130"/>
    </row>
    <row r="63" spans="1:13" ht="6.75" customHeight="1" thickBot="1" x14ac:dyDescent="0.35">
      <c r="A63" s="134"/>
      <c r="B63" s="137"/>
      <c r="C63" s="14"/>
      <c r="D63" s="15"/>
      <c r="E63" s="15"/>
      <c r="F63" s="15"/>
      <c r="G63" s="16"/>
      <c r="H63" s="131"/>
      <c r="I63" s="131"/>
      <c r="J63" s="131"/>
    </row>
    <row r="64" spans="1:13" ht="6.75" customHeight="1" x14ac:dyDescent="0.3">
      <c r="A64" s="132">
        <v>7</v>
      </c>
      <c r="B64" s="135" t="s">
        <v>190</v>
      </c>
      <c r="C64" s="7"/>
      <c r="D64" s="8"/>
      <c r="E64" s="8"/>
      <c r="F64" s="8"/>
      <c r="G64" s="9"/>
      <c r="H64" s="129" t="str">
        <f>IF(K67=1,K65,"")</f>
        <v/>
      </c>
      <c r="I64" s="129" t="str">
        <f>IF(K67=11,L65,"")</f>
        <v/>
      </c>
      <c r="J64" s="129" t="str">
        <f>IF(K67=111,M65,"")</f>
        <v/>
      </c>
    </row>
    <row r="65" spans="1:14" x14ac:dyDescent="0.3">
      <c r="A65" s="133"/>
      <c r="B65" s="136"/>
      <c r="C65" s="23" t="s">
        <v>120</v>
      </c>
      <c r="D65" s="2"/>
      <c r="E65" s="5"/>
      <c r="G65" s="11"/>
      <c r="H65" s="130"/>
      <c r="I65" s="130"/>
      <c r="J65" s="130"/>
      <c r="K65" s="4">
        <v>50</v>
      </c>
      <c r="L65" s="5">
        <v>100</v>
      </c>
      <c r="M65" s="5">
        <v>200</v>
      </c>
    </row>
    <row r="66" spans="1:14" x14ac:dyDescent="0.3">
      <c r="A66" s="133"/>
      <c r="B66" s="136"/>
      <c r="C66" s="23" t="s">
        <v>121</v>
      </c>
      <c r="D66" s="2"/>
      <c r="E66" s="5"/>
      <c r="F66" s="5"/>
      <c r="G66" s="11"/>
      <c r="H66" s="130"/>
      <c r="I66" s="130"/>
      <c r="J66" s="130"/>
      <c r="K66" s="5">
        <v>0</v>
      </c>
      <c r="L66" s="5">
        <v>0.6</v>
      </c>
      <c r="M66" s="5">
        <v>0.7</v>
      </c>
    </row>
    <row r="67" spans="1:14" x14ac:dyDescent="0.3">
      <c r="A67" s="133"/>
      <c r="B67" s="136"/>
      <c r="C67" s="20" t="s">
        <v>15</v>
      </c>
      <c r="D67" s="24"/>
      <c r="E67" s="5"/>
      <c r="F67" s="21">
        <f>IF(D65=0,0,IF(D66&gt;D65,1,D66/D65))</f>
        <v>0</v>
      </c>
      <c r="G67" s="11"/>
      <c r="H67" s="130"/>
      <c r="I67" s="130"/>
      <c r="J67" s="130"/>
      <c r="K67" s="4">
        <f>IF(F67&gt;K66,1,0)+IF(F67&gt;=L66,10,0)+IF(F67&gt;=M66,100,0)</f>
        <v>0</v>
      </c>
    </row>
    <row r="68" spans="1:14" ht="15.75" customHeight="1" thickBot="1" x14ac:dyDescent="0.35">
      <c r="A68" s="134"/>
      <c r="B68" s="137"/>
      <c r="C68" s="14"/>
      <c r="D68" s="15"/>
      <c r="E68" s="15"/>
      <c r="F68" s="15"/>
      <c r="G68" s="16"/>
      <c r="H68" s="131"/>
      <c r="I68" s="131"/>
      <c r="J68" s="131"/>
    </row>
    <row r="69" spans="1:14" ht="6.75" customHeight="1" x14ac:dyDescent="0.3">
      <c r="A69" s="132">
        <v>8</v>
      </c>
      <c r="B69" s="135" t="s">
        <v>196</v>
      </c>
      <c r="C69" s="7"/>
      <c r="D69" s="8"/>
      <c r="E69" s="8"/>
      <c r="F69" s="8"/>
      <c r="G69" s="9"/>
      <c r="H69" s="129" t="str">
        <f>IF(K73=1,K70,"")</f>
        <v/>
      </c>
      <c r="I69" s="129" t="str">
        <f>IF(K73=11,L70,"")</f>
        <v/>
      </c>
      <c r="J69" s="129" t="str">
        <f>IF(K73=111,M70,"")</f>
        <v/>
      </c>
    </row>
    <row r="70" spans="1:14" ht="15" customHeight="1" x14ac:dyDescent="0.3">
      <c r="A70" s="133"/>
      <c r="B70" s="136"/>
      <c r="C70" s="10" t="s">
        <v>127</v>
      </c>
      <c r="E70" s="25" t="b">
        <v>1</v>
      </c>
      <c r="F70" s="5"/>
      <c r="G70" s="11"/>
      <c r="H70" s="130"/>
      <c r="I70" s="130"/>
      <c r="J70" s="130"/>
      <c r="K70" s="4">
        <v>25</v>
      </c>
      <c r="L70" s="5">
        <v>50</v>
      </c>
      <c r="M70" s="5">
        <v>100</v>
      </c>
      <c r="N70" s="101" t="b">
        <v>0</v>
      </c>
    </row>
    <row r="71" spans="1:14" x14ac:dyDescent="0.3">
      <c r="A71" s="133"/>
      <c r="B71" s="136"/>
      <c r="C71" s="10" t="s">
        <v>75</v>
      </c>
      <c r="E71" s="25" t="b">
        <v>0</v>
      </c>
      <c r="F71" s="5"/>
      <c r="G71" s="11"/>
      <c r="H71" s="130"/>
      <c r="I71" s="130"/>
      <c r="J71" s="130"/>
      <c r="K71" s="5">
        <v>3</v>
      </c>
      <c r="L71" s="5">
        <v>4</v>
      </c>
      <c r="M71" s="5">
        <v>5</v>
      </c>
      <c r="N71" s="101" t="b">
        <v>0</v>
      </c>
    </row>
    <row r="72" spans="1:14" x14ac:dyDescent="0.3">
      <c r="A72" s="133"/>
      <c r="B72" s="136"/>
      <c r="C72" s="20" t="s">
        <v>16</v>
      </c>
      <c r="D72" s="1"/>
      <c r="E72" s="5"/>
      <c r="F72" s="5"/>
      <c r="G72" s="11"/>
      <c r="H72" s="130"/>
      <c r="I72" s="130"/>
      <c r="J72" s="130"/>
      <c r="K72" s="5"/>
    </row>
    <row r="73" spans="1:14" x14ac:dyDescent="0.3">
      <c r="A73" s="133"/>
      <c r="B73" s="136"/>
      <c r="C73" s="20" t="s">
        <v>17</v>
      </c>
      <c r="D73" s="1"/>
      <c r="E73" s="5"/>
      <c r="F73" s="5"/>
      <c r="G73" s="11"/>
      <c r="H73" s="130"/>
      <c r="I73" s="130"/>
      <c r="J73" s="130"/>
      <c r="K73" s="4">
        <f>IF(AND(N70=TRUE,N71=TRUE,F77&gt;=K71),1,0)+IF(F77&gt;=L71,10,0)+IF(F77&gt;=M71,100,0)</f>
        <v>0</v>
      </c>
    </row>
    <row r="74" spans="1:14" x14ac:dyDescent="0.3">
      <c r="A74" s="133"/>
      <c r="B74" s="136"/>
      <c r="C74" s="20" t="s">
        <v>18</v>
      </c>
      <c r="D74" s="1"/>
      <c r="E74" s="5"/>
      <c r="F74" s="5"/>
      <c r="G74" s="11"/>
      <c r="H74" s="130"/>
      <c r="I74" s="130"/>
      <c r="J74" s="130"/>
    </row>
    <row r="75" spans="1:14" x14ac:dyDescent="0.3">
      <c r="A75" s="133"/>
      <c r="B75" s="136"/>
      <c r="C75" s="20" t="s">
        <v>76</v>
      </c>
      <c r="D75" s="1"/>
      <c r="E75" s="5"/>
      <c r="F75" s="5"/>
      <c r="G75" s="11"/>
      <c r="H75" s="130"/>
      <c r="I75" s="130"/>
      <c r="J75" s="130"/>
    </row>
    <row r="76" spans="1:14" x14ac:dyDescent="0.3">
      <c r="A76" s="133"/>
      <c r="B76" s="136"/>
      <c r="C76" s="20" t="s">
        <v>77</v>
      </c>
      <c r="D76" s="1"/>
      <c r="E76" s="5"/>
      <c r="F76" s="5"/>
      <c r="G76" s="11"/>
      <c r="H76" s="130"/>
      <c r="I76" s="130"/>
      <c r="J76" s="130"/>
    </row>
    <row r="77" spans="1:14" x14ac:dyDescent="0.3">
      <c r="A77" s="133"/>
      <c r="B77" s="136"/>
      <c r="C77" s="10" t="s">
        <v>19</v>
      </c>
      <c r="D77" s="12"/>
      <c r="E77" s="5"/>
      <c r="F77" s="13">
        <f>IF(D72="",0,1)+IF(D73="",0,1)+IF(D74="",0,1)+IF(D75="",0,1)+IF(D76="",0,1)</f>
        <v>0</v>
      </c>
      <c r="G77" s="11"/>
      <c r="H77" s="130"/>
      <c r="I77" s="130"/>
      <c r="J77" s="130"/>
    </row>
    <row r="78" spans="1:14" ht="6.75" customHeight="1" thickBot="1" x14ac:dyDescent="0.35">
      <c r="A78" s="134"/>
      <c r="B78" s="137"/>
      <c r="C78" s="14"/>
      <c r="D78" s="15"/>
      <c r="E78" s="15"/>
      <c r="F78" s="15"/>
      <c r="G78" s="16"/>
      <c r="H78" s="131"/>
      <c r="I78" s="131"/>
      <c r="J78" s="131"/>
    </row>
    <row r="79" spans="1:14" ht="6.75" customHeight="1" x14ac:dyDescent="0.3">
      <c r="A79" s="132">
        <v>9</v>
      </c>
      <c r="B79" s="135" t="s">
        <v>197</v>
      </c>
      <c r="C79" s="7"/>
      <c r="D79" s="8"/>
      <c r="E79" s="8"/>
      <c r="F79" s="8"/>
      <c r="G79" s="9"/>
      <c r="H79" s="129" t="str">
        <f>IF(OR(K83=1,K83=101),K80,"")</f>
        <v/>
      </c>
      <c r="I79" s="129" t="str">
        <f>IF(K83=11,L80,"")</f>
        <v/>
      </c>
      <c r="J79" s="129" t="str">
        <f>IF(K83=111,M80,"")</f>
        <v/>
      </c>
    </row>
    <row r="80" spans="1:14" x14ac:dyDescent="0.3">
      <c r="A80" s="133"/>
      <c r="B80" s="136"/>
      <c r="C80" s="10" t="s">
        <v>78</v>
      </c>
      <c r="E80" s="26" t="b">
        <v>0</v>
      </c>
      <c r="G80" s="17"/>
      <c r="H80" s="130"/>
      <c r="I80" s="130"/>
      <c r="J80" s="130"/>
      <c r="K80" s="4">
        <v>50</v>
      </c>
      <c r="L80" s="5">
        <v>100</v>
      </c>
      <c r="M80" s="5">
        <v>200</v>
      </c>
      <c r="N80" s="101" t="b">
        <v>0</v>
      </c>
    </row>
    <row r="81" spans="1:14" x14ac:dyDescent="0.3">
      <c r="A81" s="133"/>
      <c r="B81" s="136"/>
      <c r="C81" s="10" t="s">
        <v>79</v>
      </c>
      <c r="E81" s="26" t="b">
        <v>0</v>
      </c>
      <c r="G81" s="17"/>
      <c r="H81" s="130"/>
      <c r="I81" s="130"/>
      <c r="J81" s="130"/>
      <c r="K81" s="5">
        <v>4</v>
      </c>
      <c r="L81" s="5">
        <v>6</v>
      </c>
      <c r="M81" s="5">
        <v>10</v>
      </c>
      <c r="N81" s="101" t="b">
        <v>0</v>
      </c>
    </row>
    <row r="82" spans="1:14" x14ac:dyDescent="0.3">
      <c r="A82" s="133"/>
      <c r="B82" s="136"/>
      <c r="C82" s="10" t="s">
        <v>93</v>
      </c>
      <c r="E82" s="26"/>
      <c r="G82" s="17"/>
      <c r="H82" s="130"/>
      <c r="I82" s="130"/>
      <c r="J82" s="130"/>
      <c r="K82" s="5"/>
      <c r="N82" s="101" t="b">
        <v>0</v>
      </c>
    </row>
    <row r="83" spans="1:14" x14ac:dyDescent="0.3">
      <c r="A83" s="133"/>
      <c r="B83" s="136"/>
      <c r="C83" s="10" t="s">
        <v>80</v>
      </c>
      <c r="D83" s="2"/>
      <c r="E83" s="26"/>
      <c r="G83" s="17"/>
      <c r="H83" s="130"/>
      <c r="I83" s="130"/>
      <c r="J83" s="130"/>
      <c r="K83" s="4">
        <f>IF(AND(D83&gt;=1,D84=D83,F95&gt;=K81),IF(D83&gt;1,IF(N80=TRUE,1,0),1),0)+IF(AND(F95&gt;=L81,N81=TRUE),10,0)+IF(AND(F95&gt;=M81,N82=TRUE),100,0)</f>
        <v>0</v>
      </c>
      <c r="N83" s="101"/>
    </row>
    <row r="84" spans="1:14" x14ac:dyDescent="0.3">
      <c r="A84" s="133"/>
      <c r="B84" s="136"/>
      <c r="C84" s="10" t="s">
        <v>81</v>
      </c>
      <c r="D84" s="2"/>
      <c r="E84" s="26"/>
      <c r="G84" s="17"/>
      <c r="H84" s="130"/>
      <c r="I84" s="130"/>
      <c r="J84" s="130"/>
      <c r="K84" s="5"/>
      <c r="N84" s="101"/>
    </row>
    <row r="85" spans="1:14" x14ac:dyDescent="0.3">
      <c r="A85" s="133"/>
      <c r="B85" s="136"/>
      <c r="C85" s="20" t="s">
        <v>82</v>
      </c>
      <c r="D85" s="1"/>
      <c r="E85" s="5"/>
      <c r="F85" s="5"/>
      <c r="G85" s="11"/>
      <c r="H85" s="130"/>
      <c r="I85" s="130"/>
      <c r="J85" s="130"/>
      <c r="K85" s="5"/>
    </row>
    <row r="86" spans="1:14" x14ac:dyDescent="0.3">
      <c r="A86" s="133"/>
      <c r="B86" s="136"/>
      <c r="C86" s="20" t="s">
        <v>83</v>
      </c>
      <c r="D86" s="1"/>
      <c r="E86" s="5"/>
      <c r="F86" s="5"/>
      <c r="G86" s="11"/>
      <c r="H86" s="130"/>
      <c r="I86" s="130"/>
      <c r="J86" s="130"/>
    </row>
    <row r="87" spans="1:14" x14ac:dyDescent="0.3">
      <c r="A87" s="133"/>
      <c r="B87" s="136"/>
      <c r="C87" s="20" t="s">
        <v>84</v>
      </c>
      <c r="D87" s="1"/>
      <c r="E87" s="5"/>
      <c r="F87" s="5"/>
      <c r="G87" s="11"/>
      <c r="H87" s="130"/>
      <c r="I87" s="130"/>
      <c r="J87" s="130"/>
    </row>
    <row r="88" spans="1:14" x14ac:dyDescent="0.3">
      <c r="A88" s="133"/>
      <c r="B88" s="136"/>
      <c r="C88" s="20" t="s">
        <v>85</v>
      </c>
      <c r="D88" s="1"/>
      <c r="E88" s="5"/>
      <c r="F88" s="5"/>
      <c r="G88" s="11"/>
      <c r="H88" s="130"/>
      <c r="I88" s="130"/>
      <c r="J88" s="130"/>
    </row>
    <row r="89" spans="1:14" x14ac:dyDescent="0.3">
      <c r="A89" s="133"/>
      <c r="B89" s="136"/>
      <c r="C89" s="20" t="s">
        <v>86</v>
      </c>
      <c r="D89" s="1"/>
      <c r="E89" s="5"/>
      <c r="F89" s="5"/>
      <c r="G89" s="11"/>
      <c r="H89" s="130"/>
      <c r="I89" s="130"/>
      <c r="J89" s="130"/>
    </row>
    <row r="90" spans="1:14" x14ac:dyDescent="0.3">
      <c r="A90" s="133"/>
      <c r="B90" s="136"/>
      <c r="C90" s="20" t="s">
        <v>87</v>
      </c>
      <c r="D90" s="1"/>
      <c r="E90" s="5"/>
      <c r="F90" s="5"/>
      <c r="G90" s="11"/>
      <c r="H90" s="130"/>
      <c r="I90" s="130"/>
      <c r="J90" s="130"/>
    </row>
    <row r="91" spans="1:14" x14ac:dyDescent="0.3">
      <c r="A91" s="133"/>
      <c r="B91" s="136"/>
      <c r="C91" s="20" t="s">
        <v>88</v>
      </c>
      <c r="D91" s="1"/>
      <c r="E91" s="5"/>
      <c r="F91" s="5"/>
      <c r="G91" s="11"/>
      <c r="H91" s="130"/>
      <c r="I91" s="130"/>
      <c r="J91" s="130"/>
    </row>
    <row r="92" spans="1:14" x14ac:dyDescent="0.3">
      <c r="A92" s="133"/>
      <c r="B92" s="136"/>
      <c r="C92" s="20" t="s">
        <v>89</v>
      </c>
      <c r="D92" s="1"/>
      <c r="E92" s="5"/>
      <c r="F92" s="5"/>
      <c r="G92" s="11"/>
      <c r="H92" s="130"/>
      <c r="I92" s="130"/>
      <c r="J92" s="130"/>
    </row>
    <row r="93" spans="1:14" x14ac:dyDescent="0.3">
      <c r="A93" s="133"/>
      <c r="B93" s="136"/>
      <c r="C93" s="20" t="s">
        <v>90</v>
      </c>
      <c r="D93" s="1"/>
      <c r="E93" s="5"/>
      <c r="F93" s="5"/>
      <c r="G93" s="11"/>
      <c r="H93" s="130"/>
      <c r="I93" s="130"/>
      <c r="J93" s="130"/>
    </row>
    <row r="94" spans="1:14" x14ac:dyDescent="0.3">
      <c r="A94" s="133"/>
      <c r="B94" s="136"/>
      <c r="C94" s="20" t="s">
        <v>91</v>
      </c>
      <c r="D94" s="1"/>
      <c r="E94" s="5"/>
      <c r="F94" s="5"/>
      <c r="G94" s="11"/>
      <c r="H94" s="130"/>
      <c r="I94" s="130"/>
      <c r="J94" s="130"/>
    </row>
    <row r="95" spans="1:14" x14ac:dyDescent="0.3">
      <c r="A95" s="133"/>
      <c r="B95" s="136"/>
      <c r="C95" s="10" t="s">
        <v>92</v>
      </c>
      <c r="D95" s="12"/>
      <c r="E95" s="5"/>
      <c r="F95" s="13">
        <f>IF(D85="",0,1)+IF(D86="",0,1)+IF(D87="",0,1)+IF(D88="",0,1)+IF(D89="",0,1)+IF(D90="",0,1)+IF(D91="",0,1)+IF(D92="",0,1)+IF(D93="",0,1)+IF(D94="",0,1)</f>
        <v>0</v>
      </c>
      <c r="G95" s="11"/>
      <c r="H95" s="130"/>
      <c r="I95" s="130"/>
      <c r="J95" s="130"/>
    </row>
    <row r="96" spans="1:14" ht="6.75" customHeight="1" thickBot="1" x14ac:dyDescent="0.35">
      <c r="A96" s="134"/>
      <c r="B96" s="137"/>
      <c r="C96" s="14"/>
      <c r="D96" s="15"/>
      <c r="E96" s="15"/>
      <c r="F96" s="15"/>
      <c r="G96" s="16"/>
      <c r="H96" s="131"/>
      <c r="I96" s="131"/>
      <c r="J96" s="131"/>
    </row>
    <row r="97" spans="1:14" ht="15" customHeight="1" thickBot="1" x14ac:dyDescent="0.35">
      <c r="A97" s="93"/>
      <c r="B97" s="94" t="s">
        <v>24</v>
      </c>
      <c r="C97" s="95"/>
      <c r="D97" s="95"/>
      <c r="E97" s="95"/>
      <c r="F97" s="95"/>
      <c r="G97" s="95"/>
      <c r="H97" s="95"/>
      <c r="I97" s="95"/>
      <c r="J97" s="96"/>
    </row>
    <row r="98" spans="1:14" ht="6.75" customHeight="1" x14ac:dyDescent="0.3">
      <c r="A98" s="132">
        <v>10</v>
      </c>
      <c r="B98" s="135" t="s">
        <v>198</v>
      </c>
      <c r="C98" s="7"/>
      <c r="D98" s="8"/>
      <c r="E98" s="8"/>
      <c r="F98" s="8"/>
      <c r="G98" s="9"/>
      <c r="H98" s="129" t="str">
        <f>IF(K103=1,K99,"")</f>
        <v/>
      </c>
      <c r="I98" s="129" t="str">
        <f>IF(K103=11,L99,"")</f>
        <v/>
      </c>
      <c r="J98" s="129" t="str">
        <f>IF(K103=111,M99,"")</f>
        <v/>
      </c>
    </row>
    <row r="99" spans="1:14" x14ac:dyDescent="0.3">
      <c r="A99" s="133"/>
      <c r="B99" s="136"/>
      <c r="C99" s="10" t="s">
        <v>94</v>
      </c>
      <c r="E99" s="26" t="b">
        <v>1</v>
      </c>
      <c r="G99" s="17"/>
      <c r="H99" s="130"/>
      <c r="I99" s="130"/>
      <c r="J99" s="130"/>
      <c r="K99" s="4">
        <v>50</v>
      </c>
      <c r="L99" s="5">
        <v>100</v>
      </c>
      <c r="M99" s="5">
        <v>200</v>
      </c>
      <c r="N99" s="101" t="b">
        <v>0</v>
      </c>
    </row>
    <row r="100" spans="1:14" x14ac:dyDescent="0.3">
      <c r="A100" s="133"/>
      <c r="B100" s="136"/>
      <c r="C100" s="10" t="s">
        <v>200</v>
      </c>
      <c r="E100" s="26" t="b">
        <v>1</v>
      </c>
      <c r="G100" s="17"/>
      <c r="H100" s="130"/>
      <c r="I100" s="130"/>
      <c r="J100" s="130"/>
      <c r="N100" s="101" t="b">
        <v>0</v>
      </c>
    </row>
    <row r="101" spans="1:14" x14ac:dyDescent="0.3">
      <c r="A101" s="133"/>
      <c r="B101" s="136"/>
      <c r="C101" s="23" t="s">
        <v>100</v>
      </c>
      <c r="D101" s="2"/>
      <c r="E101" s="25" t="b">
        <v>1</v>
      </c>
      <c r="F101" s="5"/>
      <c r="G101" s="11"/>
      <c r="H101" s="130"/>
      <c r="I101" s="130"/>
      <c r="J101" s="130"/>
      <c r="K101" s="5">
        <v>3</v>
      </c>
      <c r="L101" s="5">
        <v>2</v>
      </c>
      <c r="M101" s="5">
        <v>3</v>
      </c>
      <c r="N101" s="101"/>
    </row>
    <row r="102" spans="1:14" x14ac:dyDescent="0.3">
      <c r="A102" s="133"/>
      <c r="B102" s="136"/>
      <c r="C102" s="98" t="s">
        <v>99</v>
      </c>
      <c r="D102" s="2"/>
      <c r="E102" s="25"/>
      <c r="F102" s="5"/>
      <c r="G102" s="11"/>
      <c r="H102" s="130"/>
      <c r="I102" s="130"/>
      <c r="J102" s="130"/>
      <c r="K102" s="5"/>
      <c r="N102" s="101"/>
    </row>
    <row r="103" spans="1:14" x14ac:dyDescent="0.3">
      <c r="A103" s="133"/>
      <c r="B103" s="136"/>
      <c r="C103" s="20" t="s">
        <v>95</v>
      </c>
      <c r="D103" s="1"/>
      <c r="E103" s="5"/>
      <c r="F103" s="5"/>
      <c r="G103" s="11"/>
      <c r="H103" s="130"/>
      <c r="I103" s="130"/>
      <c r="J103" s="130"/>
      <c r="K103" s="4">
        <f>IF(AND(N99=TRUE,D101&gt;=1,D102&gt;=K101),1,0)+IF(F106&gt;=L101,10,0)+IF(AND(N100=TRUE,F106&gt;=M101),100,0)</f>
        <v>0</v>
      </c>
    </row>
    <row r="104" spans="1:14" x14ac:dyDescent="0.3">
      <c r="A104" s="133"/>
      <c r="B104" s="136"/>
      <c r="C104" s="20" t="s">
        <v>96</v>
      </c>
      <c r="D104" s="1"/>
      <c r="E104" s="5"/>
      <c r="F104" s="5"/>
      <c r="G104" s="11"/>
      <c r="H104" s="130"/>
      <c r="I104" s="130"/>
      <c r="J104" s="130"/>
    </row>
    <row r="105" spans="1:14" x14ac:dyDescent="0.3">
      <c r="A105" s="133"/>
      <c r="B105" s="136"/>
      <c r="C105" s="20" t="s">
        <v>97</v>
      </c>
      <c r="D105" s="1"/>
      <c r="E105" s="5"/>
      <c r="F105" s="5"/>
      <c r="G105" s="11"/>
      <c r="H105" s="130"/>
      <c r="I105" s="130"/>
      <c r="J105" s="130"/>
    </row>
    <row r="106" spans="1:14" x14ac:dyDescent="0.3">
      <c r="A106" s="133"/>
      <c r="B106" s="136"/>
      <c r="C106" s="23" t="s">
        <v>98</v>
      </c>
      <c r="D106" s="12"/>
      <c r="E106" s="5"/>
      <c r="F106" s="13">
        <f>IF(D103="",0,1)+IF(D104="",0,1)+IF(D105="",0,1)</f>
        <v>0</v>
      </c>
      <c r="G106" s="11"/>
      <c r="H106" s="130"/>
      <c r="I106" s="130"/>
      <c r="J106" s="130"/>
    </row>
    <row r="107" spans="1:14" ht="18" customHeight="1" thickBot="1" x14ac:dyDescent="0.35">
      <c r="A107" s="134"/>
      <c r="B107" s="137"/>
      <c r="C107" s="14"/>
      <c r="D107" s="15"/>
      <c r="E107" s="15"/>
      <c r="F107" s="15"/>
      <c r="G107" s="16"/>
      <c r="H107" s="131"/>
      <c r="I107" s="131"/>
      <c r="J107" s="131"/>
    </row>
    <row r="108" spans="1:14" ht="6.75" customHeight="1" x14ac:dyDescent="0.3">
      <c r="A108" s="132">
        <v>11</v>
      </c>
      <c r="B108" s="135" t="s">
        <v>199</v>
      </c>
      <c r="C108" s="7"/>
      <c r="D108" s="8"/>
      <c r="E108" s="8"/>
      <c r="F108" s="8"/>
      <c r="G108" s="9"/>
      <c r="H108" s="129" t="str">
        <f>IF(OR(K112=1,K112=101),K109,"")</f>
        <v/>
      </c>
      <c r="I108" s="129" t="str">
        <f>IF(K112=11,L109,"")</f>
        <v/>
      </c>
      <c r="J108" s="129" t="str">
        <f>IF(K112=111,M109,"")</f>
        <v/>
      </c>
    </row>
    <row r="109" spans="1:14" x14ac:dyDescent="0.3">
      <c r="A109" s="133"/>
      <c r="B109" s="136"/>
      <c r="C109" s="20" t="s">
        <v>114</v>
      </c>
      <c r="E109" s="26" t="b">
        <v>1</v>
      </c>
      <c r="G109" s="17"/>
      <c r="H109" s="130"/>
      <c r="I109" s="130"/>
      <c r="J109" s="130"/>
      <c r="K109" s="4">
        <v>50</v>
      </c>
      <c r="L109" s="5">
        <v>100</v>
      </c>
      <c r="M109" s="5">
        <v>200</v>
      </c>
      <c r="N109" s="101" t="b">
        <v>0</v>
      </c>
    </row>
    <row r="110" spans="1:14" x14ac:dyDescent="0.3">
      <c r="A110" s="133"/>
      <c r="B110" s="136"/>
      <c r="C110" s="10" t="s">
        <v>115</v>
      </c>
      <c r="E110" s="26" t="b">
        <v>1</v>
      </c>
      <c r="G110" s="17"/>
      <c r="H110" s="130"/>
      <c r="I110" s="130"/>
      <c r="J110" s="130"/>
      <c r="K110" s="5"/>
      <c r="L110" s="5">
        <v>0.6</v>
      </c>
      <c r="M110" s="5">
        <v>0.6666666</v>
      </c>
      <c r="N110" s="101" t="b">
        <v>0</v>
      </c>
    </row>
    <row r="111" spans="1:14" x14ac:dyDescent="0.3">
      <c r="A111" s="133"/>
      <c r="B111" s="136"/>
      <c r="C111" s="23" t="s">
        <v>100</v>
      </c>
      <c r="D111" s="104"/>
      <c r="E111" s="104"/>
      <c r="F111" s="18">
        <f>D101</f>
        <v>0</v>
      </c>
      <c r="G111" s="17"/>
      <c r="H111" s="130"/>
      <c r="I111" s="130"/>
      <c r="J111" s="130"/>
      <c r="K111" s="5"/>
      <c r="N111" s="101"/>
    </row>
    <row r="112" spans="1:14" x14ac:dyDescent="0.3">
      <c r="A112" s="133"/>
      <c r="B112" s="136"/>
      <c r="C112" s="20" t="s">
        <v>21</v>
      </c>
      <c r="D112" s="2"/>
      <c r="G112" s="11"/>
      <c r="H112" s="130"/>
      <c r="I112" s="130"/>
      <c r="J112" s="130"/>
      <c r="K112" s="4">
        <f>IF(OR(N109=TRUE,F113&gt;0),1,0)+IF(AND(N109=TRUE,F113&gt;=L110),10,0)+IF(AND(F116&gt;=M110,N110=TRUE),100,0)</f>
        <v>0</v>
      </c>
    </row>
    <row r="113" spans="1:13" x14ac:dyDescent="0.3">
      <c r="A113" s="133"/>
      <c r="B113" s="136"/>
      <c r="C113" s="23" t="s">
        <v>105</v>
      </c>
      <c r="D113" s="27"/>
      <c r="E113" s="5"/>
      <c r="F113" s="21">
        <f>IF(F111=0,0,IF(D112&gt;F111,1,D112/F111))</f>
        <v>0</v>
      </c>
      <c r="G113" s="11"/>
      <c r="H113" s="130"/>
      <c r="I113" s="130"/>
      <c r="J113" s="130"/>
      <c r="K113" s="5"/>
    </row>
    <row r="114" spans="1:13" x14ac:dyDescent="0.3">
      <c r="A114" s="133"/>
      <c r="B114" s="136"/>
      <c r="C114" s="23" t="s">
        <v>20</v>
      </c>
      <c r="D114" s="12"/>
      <c r="E114" s="5"/>
      <c r="F114" s="13">
        <f>D102</f>
        <v>0</v>
      </c>
      <c r="G114" s="11"/>
      <c r="H114" s="130"/>
      <c r="I114" s="130"/>
      <c r="J114" s="130"/>
    </row>
    <row r="115" spans="1:13" ht="13.65" customHeight="1" x14ac:dyDescent="0.3">
      <c r="A115" s="133"/>
      <c r="B115" s="136"/>
      <c r="C115" s="20" t="s">
        <v>21</v>
      </c>
      <c r="D115" s="2"/>
      <c r="E115" s="5"/>
      <c r="F115" s="5"/>
      <c r="G115" s="11"/>
      <c r="H115" s="130"/>
      <c r="I115" s="130"/>
      <c r="J115" s="130"/>
    </row>
    <row r="116" spans="1:13" x14ac:dyDescent="0.3">
      <c r="A116" s="133"/>
      <c r="B116" s="136"/>
      <c r="C116" s="23" t="s">
        <v>59</v>
      </c>
      <c r="D116" s="12"/>
      <c r="E116" s="5"/>
      <c r="F116" s="21">
        <f>IF(F114=0,0,IF(D115&gt;F114,1,D115/F114))</f>
        <v>0</v>
      </c>
      <c r="G116" s="11"/>
      <c r="H116" s="130"/>
      <c r="I116" s="130"/>
      <c r="J116" s="130"/>
    </row>
    <row r="117" spans="1:13" ht="6.75" customHeight="1" thickBot="1" x14ac:dyDescent="0.35">
      <c r="A117" s="134"/>
      <c r="B117" s="137"/>
      <c r="C117" s="14"/>
      <c r="D117" s="15"/>
      <c r="E117" s="15"/>
      <c r="F117" s="15"/>
      <c r="G117" s="16"/>
      <c r="H117" s="131"/>
      <c r="I117" s="131"/>
      <c r="J117" s="131"/>
    </row>
    <row r="118" spans="1:13" ht="15" customHeight="1" thickBot="1" x14ac:dyDescent="0.35">
      <c r="A118" s="93"/>
      <c r="B118" s="95"/>
      <c r="C118" s="95"/>
      <c r="D118" s="95"/>
      <c r="E118" s="95"/>
      <c r="F118" s="95"/>
      <c r="G118" s="95"/>
      <c r="H118" s="95"/>
      <c r="I118" s="95"/>
      <c r="J118" s="96"/>
    </row>
    <row r="119" spans="1:13" x14ac:dyDescent="0.3">
      <c r="H119" s="26">
        <f>SUM(H6:H117)</f>
        <v>0</v>
      </c>
      <c r="I119" s="26">
        <f>SUM(I6:I117)</f>
        <v>0</v>
      </c>
      <c r="J119" s="26">
        <f>SUM(J6:J117)</f>
        <v>0</v>
      </c>
    </row>
    <row r="120" spans="1:13" ht="15.6" thickBot="1" x14ac:dyDescent="0.35">
      <c r="A120" s="28" t="str">
        <f>IF(D120=1,"®","")</f>
        <v/>
      </c>
      <c r="B120" s="29" t="s">
        <v>28</v>
      </c>
      <c r="C120" s="30"/>
      <c r="D120" s="31">
        <f>IF(AND(J120&gt;=K120,J122&gt;=K122),1,0)+IF(AND(J120&gt;=L120,J122&gt;=L122),10,0)+IF(AND(J120&gt;=M120,J122&gt;=M122,K55+K67&gt;0),100,0)</f>
        <v>0</v>
      </c>
      <c r="F120" s="32" t="s">
        <v>29</v>
      </c>
      <c r="G120" s="32"/>
      <c r="H120" s="32"/>
      <c r="I120" s="32"/>
      <c r="J120" s="33">
        <f>H119+I119+J119</f>
        <v>0</v>
      </c>
      <c r="K120" s="4">
        <v>525</v>
      </c>
      <c r="L120" s="5">
        <v>750</v>
      </c>
      <c r="M120" s="5">
        <v>1000</v>
      </c>
    </row>
    <row r="121" spans="1:13" ht="15" x14ac:dyDescent="0.3">
      <c r="A121" s="28" t="str">
        <f>IF(D120=11,"®","")</f>
        <v/>
      </c>
      <c r="B121" s="97" t="s">
        <v>61</v>
      </c>
      <c r="C121" s="30"/>
      <c r="D121" s="34"/>
      <c r="E121" s="32"/>
      <c r="F121" s="35"/>
      <c r="G121" s="35"/>
      <c r="H121" s="36">
        <f>COUNTIF(H6:H117,"&gt;0")</f>
        <v>0</v>
      </c>
      <c r="I121" s="36">
        <f>COUNTIF(I6:I117,"&gt;0")</f>
        <v>0</v>
      </c>
      <c r="J121" s="36">
        <f>COUNTIF(J6:J117,"&gt;0")</f>
        <v>0</v>
      </c>
    </row>
    <row r="122" spans="1:13" ht="15.6" thickBot="1" x14ac:dyDescent="0.35">
      <c r="A122" s="28" t="str">
        <f>IF(D120=111,"®","")</f>
        <v/>
      </c>
      <c r="B122" s="97" t="s">
        <v>117</v>
      </c>
      <c r="C122" s="30"/>
      <c r="D122" s="30"/>
      <c r="F122" s="32" t="s">
        <v>30</v>
      </c>
      <c r="G122" s="35"/>
      <c r="I122" s="37"/>
      <c r="J122" s="38">
        <f>H121+I121+J121</f>
        <v>0</v>
      </c>
      <c r="K122" s="4">
        <v>7</v>
      </c>
      <c r="L122" s="5">
        <v>8</v>
      </c>
      <c r="M122" s="5">
        <v>8</v>
      </c>
    </row>
    <row r="124" spans="1:13" ht="21" x14ac:dyDescent="0.35">
      <c r="B124" s="39"/>
    </row>
    <row r="125" spans="1:13" ht="21" x14ac:dyDescent="0.35">
      <c r="B125" s="39"/>
    </row>
    <row r="126" spans="1:13" ht="21" x14ac:dyDescent="0.35">
      <c r="B126" s="39"/>
    </row>
    <row r="127" spans="1:13" ht="21" x14ac:dyDescent="0.35">
      <c r="B127" s="39"/>
    </row>
    <row r="128" spans="1:13" ht="21" x14ac:dyDescent="0.35">
      <c r="B128" s="39"/>
    </row>
    <row r="129" spans="2:2" ht="21" x14ac:dyDescent="0.35">
      <c r="B129" s="39"/>
    </row>
    <row r="130" spans="2:2" ht="21" x14ac:dyDescent="0.35">
      <c r="B130" s="39"/>
    </row>
    <row r="131" spans="2:2" ht="21" x14ac:dyDescent="0.35">
      <c r="B131" s="39"/>
    </row>
    <row r="132" spans="2:2" ht="21" x14ac:dyDescent="0.35">
      <c r="B132" s="39"/>
    </row>
  </sheetData>
  <sheetProtection algorithmName="SHA-512" hashValue="Xl5Qcfi3pcSqmXIZM3Kdk4fbI4Oi5whvw+nuC5Ysyg4Nz7BzjnA1kqrocVmsZiqosAg1VcPDOmJT+fbfaxS0Tw==" saltValue="zt+9pP9bv4YQFqX+klAK8A==" spinCount="100000" sheet="1" selectLockedCells="1"/>
  <mergeCells count="58">
    <mergeCell ref="I69:I78"/>
    <mergeCell ref="J69:J78"/>
    <mergeCell ref="A47:A51"/>
    <mergeCell ref="B47:B51"/>
    <mergeCell ref="H47:H51"/>
    <mergeCell ref="I47:I51"/>
    <mergeCell ref="J47:J51"/>
    <mergeCell ref="A64:A68"/>
    <mergeCell ref="B64:B68"/>
    <mergeCell ref="H64:H68"/>
    <mergeCell ref="I64:I68"/>
    <mergeCell ref="J64:J68"/>
    <mergeCell ref="A69:A78"/>
    <mergeCell ref="B69:B78"/>
    <mergeCell ref="H69:H78"/>
    <mergeCell ref="J40:J45"/>
    <mergeCell ref="I18:I32"/>
    <mergeCell ref="J18:J32"/>
    <mergeCell ref="B18:B32"/>
    <mergeCell ref="A6:A16"/>
    <mergeCell ref="B6:B16"/>
    <mergeCell ref="H6:H16"/>
    <mergeCell ref="I6:I16"/>
    <mergeCell ref="J6:J16"/>
    <mergeCell ref="J33:J39"/>
    <mergeCell ref="A18:A32"/>
    <mergeCell ref="H18:H32"/>
    <mergeCell ref="A1:J1"/>
    <mergeCell ref="A2:J2"/>
    <mergeCell ref="J52:J63"/>
    <mergeCell ref="A52:A63"/>
    <mergeCell ref="B52:B63"/>
    <mergeCell ref="H52:H63"/>
    <mergeCell ref="I52:I63"/>
    <mergeCell ref="C20:D20"/>
    <mergeCell ref="A33:A39"/>
    <mergeCell ref="B33:B39"/>
    <mergeCell ref="H33:H39"/>
    <mergeCell ref="I33:I39"/>
    <mergeCell ref="A40:A45"/>
    <mergeCell ref="B40:B45"/>
    <mergeCell ref="H40:H45"/>
    <mergeCell ref="I40:I45"/>
    <mergeCell ref="J108:J117"/>
    <mergeCell ref="A79:A96"/>
    <mergeCell ref="B79:B96"/>
    <mergeCell ref="H79:H96"/>
    <mergeCell ref="I79:I96"/>
    <mergeCell ref="J79:J96"/>
    <mergeCell ref="A98:A107"/>
    <mergeCell ref="B98:B107"/>
    <mergeCell ref="H98:H107"/>
    <mergeCell ref="I98:I107"/>
    <mergeCell ref="J98:J107"/>
    <mergeCell ref="A108:A117"/>
    <mergeCell ref="B108:B117"/>
    <mergeCell ref="H108:H117"/>
    <mergeCell ref="I108:I117"/>
  </mergeCells>
  <conditionalFormatting sqref="D24 D28">
    <cfRule type="expression" dxfId="33" priority="58">
      <formula>$N$20</formula>
    </cfRule>
  </conditionalFormatting>
  <dataValidations xWindow="703" yWindow="458" count="11">
    <dataValidation type="whole" operator="greaterThanOrEqual" allowBlank="1" showInputMessage="1" showErrorMessage="1" errorTitle="Number Invalid" error="Must be whole number." sqref="D111:E111 D101 D65:D66 D44 D49 D83 D22:D28" xr:uid="{00000000-0002-0000-0100-000000000000}">
      <formula1>0</formula1>
    </dataValidation>
    <dataValidation type="whole" operator="greaterThanOrEqual" allowBlank="1" showInputMessage="1" showErrorMessage="1" errorTitle="Number Invalid" error="Must be whole number." sqref="D102" xr:uid="{00000000-0002-0000-0100-000001000000}">
      <formula1>1</formula1>
    </dataValidation>
    <dataValidation type="whole" allowBlank="1" showInputMessage="1" showErrorMessage="1" errorTitle="Number Invalid" error="Must be whole number thst is not greater than the number of patrols." sqref="D84" xr:uid="{A33C9625-B1D8-478D-9E23-D7ED19673B60}">
      <formula1>0</formula1>
      <formula2>D83</formula2>
    </dataValidation>
    <dataValidation type="whole" allowBlank="1" showInputMessage="1" showErrorMessage="1" errorTitle="Number Invalid" error="Must be whole number not greater than the total number of committee members." sqref="D115" xr:uid="{00000000-0002-0000-0100-000003000000}">
      <formula1>0</formula1>
      <formula2>F114</formula2>
    </dataValidation>
    <dataValidation type="whole" operator="greaterThan" allowBlank="1" showInputMessage="1" showErrorMessage="1" errorTitle="Number Invalid" error="Must be whole number." sqref="D29" xr:uid="{00000000-0002-0000-0100-000006000000}">
      <formula1>0</formula1>
    </dataValidation>
    <dataValidation type="whole" allowBlank="1" showInputMessage="1" showErrorMessage="1" errorTitle="Number Invalid" error="Must be whole number that is no greater than the end of charter membership. (Cell D30)" sqref="D25" xr:uid="{00000000-0002-0000-0100-000008000000}">
      <formula1>0</formula1>
      <formula2>D34</formula2>
    </dataValidation>
    <dataValidation type="whole" allowBlank="1" showInputMessage="1" showErrorMessage="1" errorTitle="Number Invalid" error="Must be whole number not greater than the total number of assistant Scoutmasters." sqref="D112" xr:uid="{00000000-0002-0000-0100-000009000000}">
      <formula1>0</formula1>
      <formula2>F111</formula2>
    </dataValidation>
    <dataValidation type="date" allowBlank="1" showInputMessage="1" showErrorMessage="1" errorTitle="Date Out of Range" error="Date must be during 2022." sqref="D21 D103:D105 D53:D61 D72:D76 D85:D94" xr:uid="{00000000-0002-0000-0100-00000A000000}">
      <formula1>44562</formula1>
      <formula2>44926</formula2>
    </dataValidation>
    <dataValidation type="date" allowBlank="1" showInputMessage="1" showErrorMessage="1" errorTitle="Date Out of Range" error="Date must be in 2021 or 2022." sqref="D7:D8 D41:D42" xr:uid="{0495FB73-B294-4E90-AC12-6BDEDFFEAD40}">
      <formula1>44197</formula1>
      <formula2>44926</formula2>
    </dataValidation>
    <dataValidation type="whole" operator="greaterThanOrEqual" allowBlank="1" showInputMessage="1" showErrorMessage="1" error="Current membership cannot be less than zero." sqref="D30" xr:uid="{94625033-BF34-4698-A260-A71BB8F72F98}">
      <formula1>0</formula1>
    </dataValidation>
    <dataValidation type="date" allowBlank="1" showInputMessage="1" showErrorMessage="1" errorTitle="Date Out of Range" error="Date must be in 2022." sqref="D9:D14" xr:uid="{4EDB7B9C-0687-4325-8737-2C7A96B37C73}">
      <formula1>44562</formula1>
      <formula2>44926</formula2>
    </dataValidation>
  </dataValidations>
  <printOptions horizontalCentered="1"/>
  <pageMargins left="0.4" right="0.4" top="0.5" bottom="0.5" header="0.3" footer="0.3"/>
  <pageSetup scale="70" fitToHeight="2" orientation="portrait" horizontalDpi="4294967293" verticalDpi="4294967293" r:id="rId1"/>
  <headerFooter>
    <oddFooter>&amp;LRevised: 06/03/22</oddFooter>
  </headerFooter>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83820</xdr:colOff>
                    <xdr:row>69</xdr:row>
                    <xdr:rowOff>7620</xdr:rowOff>
                  </from>
                  <to>
                    <xdr:col>3</xdr:col>
                    <xdr:colOff>502920</xdr:colOff>
                    <xdr:row>69</xdr:row>
                    <xdr:rowOff>182880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83820</xdr:colOff>
                    <xdr:row>70</xdr:row>
                    <xdr:rowOff>7620</xdr:rowOff>
                  </from>
                  <to>
                    <xdr:col>3</xdr:col>
                    <xdr:colOff>525780</xdr:colOff>
                    <xdr:row>71</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3</xdr:col>
                    <xdr:colOff>83820</xdr:colOff>
                    <xdr:row>79</xdr:row>
                    <xdr:rowOff>7620</xdr:rowOff>
                  </from>
                  <to>
                    <xdr:col>3</xdr:col>
                    <xdr:colOff>525780</xdr:colOff>
                    <xdr:row>80</xdr:row>
                    <xdr:rowOff>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3</xdr:col>
                    <xdr:colOff>83820</xdr:colOff>
                    <xdr:row>80</xdr:row>
                    <xdr:rowOff>7620</xdr:rowOff>
                  </from>
                  <to>
                    <xdr:col>3</xdr:col>
                    <xdr:colOff>525780</xdr:colOff>
                    <xdr:row>81</xdr:row>
                    <xdr:rowOff>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83820</xdr:colOff>
                    <xdr:row>108</xdr:row>
                    <xdr:rowOff>7620</xdr:rowOff>
                  </from>
                  <to>
                    <xdr:col>3</xdr:col>
                    <xdr:colOff>525780</xdr:colOff>
                    <xdr:row>109</xdr:row>
                    <xdr:rowOff>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3</xdr:col>
                    <xdr:colOff>83820</xdr:colOff>
                    <xdr:row>109</xdr:row>
                    <xdr:rowOff>7620</xdr:rowOff>
                  </from>
                  <to>
                    <xdr:col>3</xdr:col>
                    <xdr:colOff>525780</xdr:colOff>
                    <xdr:row>110</xdr:row>
                    <xdr:rowOff>0</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3</xdr:col>
                    <xdr:colOff>83820</xdr:colOff>
                    <xdr:row>81</xdr:row>
                    <xdr:rowOff>7620</xdr:rowOff>
                  </from>
                  <to>
                    <xdr:col>3</xdr:col>
                    <xdr:colOff>525780</xdr:colOff>
                    <xdr:row>82</xdr:row>
                    <xdr:rowOff>0</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2</xdr:col>
                    <xdr:colOff>3543300</xdr:colOff>
                    <xdr:row>30</xdr:row>
                    <xdr:rowOff>182880</xdr:rowOff>
                  </from>
                  <to>
                    <xdr:col>2</xdr:col>
                    <xdr:colOff>3962400</xdr:colOff>
                    <xdr:row>31</xdr:row>
                    <xdr:rowOff>152400</xdr:rowOff>
                  </to>
                </anchor>
              </controlPr>
            </control>
          </mc:Choice>
        </mc:AlternateContent>
        <mc:AlternateContent xmlns:mc="http://schemas.openxmlformats.org/markup-compatibility/2006">
          <mc:Choice Requires="x14">
            <control shapeId="1101" r:id="rId12" name="Check Box 77">
              <controlPr defaultSize="0" autoFill="0" autoLine="0" autoPict="0">
                <anchor moveWithCells="1">
                  <from>
                    <xdr:col>3</xdr:col>
                    <xdr:colOff>594360</xdr:colOff>
                    <xdr:row>17</xdr:row>
                    <xdr:rowOff>22860</xdr:rowOff>
                  </from>
                  <to>
                    <xdr:col>5</xdr:col>
                    <xdr:colOff>121920</xdr:colOff>
                    <xdr:row>20</xdr:row>
                    <xdr:rowOff>68580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3</xdr:col>
                    <xdr:colOff>83820</xdr:colOff>
                    <xdr:row>98</xdr:row>
                    <xdr:rowOff>7620</xdr:rowOff>
                  </from>
                  <to>
                    <xdr:col>3</xdr:col>
                    <xdr:colOff>525780</xdr:colOff>
                    <xdr:row>99</xdr:row>
                    <xdr:rowOff>0</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3</xdr:col>
                    <xdr:colOff>83820</xdr:colOff>
                    <xdr:row>99</xdr:row>
                    <xdr:rowOff>7620</xdr:rowOff>
                  </from>
                  <to>
                    <xdr:col>3</xdr:col>
                    <xdr:colOff>525780</xdr:colOff>
                    <xdr:row>100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38"/>
  <sheetViews>
    <sheetView showGridLines="0" tabSelected="1" zoomScale="85" zoomScaleNormal="85" workbookViewId="0">
      <selection activeCell="B19" sqref="B19"/>
    </sheetView>
  </sheetViews>
  <sheetFormatPr defaultColWidth="9.109375" defaultRowHeight="13.2" x14ac:dyDescent="0.25"/>
  <cols>
    <col min="1" max="1" width="6.88671875" style="45" customWidth="1"/>
    <col min="2" max="2" width="44" style="44" customWidth="1"/>
    <col min="3" max="3" width="25.6640625" style="46" customWidth="1"/>
    <col min="4" max="4" width="26.33203125" style="46" customWidth="1"/>
    <col min="5" max="5" width="28" style="46" customWidth="1"/>
    <col min="6" max="8" width="9.109375" style="44"/>
    <col min="9" max="11" width="9.109375" style="44" hidden="1" customWidth="1"/>
    <col min="12" max="16384" width="9.109375" style="44"/>
  </cols>
  <sheetData>
    <row r="1" spans="1:11" s="43" customFormat="1" ht="27.15" customHeight="1" x14ac:dyDescent="0.65">
      <c r="A1" s="150" t="str">
        <f>"Troop "&amp;'Setup &amp; Instructions'!C5&amp;" of "&amp;'Setup &amp; Instructions'!C7&amp;" District"</f>
        <v>Troop  of  District</v>
      </c>
      <c r="B1" s="150"/>
      <c r="C1" s="150"/>
      <c r="D1" s="150"/>
      <c r="E1" s="150"/>
      <c r="F1" s="150"/>
      <c r="G1" s="150"/>
      <c r="H1" s="150"/>
    </row>
    <row r="2" spans="1:11" ht="19.649999999999999" customHeight="1" x14ac:dyDescent="0.6">
      <c r="A2" s="151" t="s">
        <v>144</v>
      </c>
      <c r="B2" s="151"/>
      <c r="C2" s="151"/>
      <c r="D2" s="151"/>
      <c r="E2" s="151"/>
      <c r="F2" s="151"/>
      <c r="G2" s="151"/>
      <c r="H2" s="151"/>
    </row>
    <row r="3" spans="1:11" ht="31.35" customHeight="1" thickBot="1" x14ac:dyDescent="0.3">
      <c r="A3" s="155" t="s">
        <v>118</v>
      </c>
      <c r="B3" s="155"/>
      <c r="C3" s="155"/>
      <c r="D3" s="155"/>
      <c r="E3" s="155"/>
      <c r="F3" s="155"/>
      <c r="G3" s="155"/>
      <c r="H3" s="155"/>
    </row>
    <row r="4" spans="1:11" ht="36.75" customHeight="1" thickBot="1" x14ac:dyDescent="0.3">
      <c r="A4" s="152" t="s">
        <v>31</v>
      </c>
      <c r="B4" s="67" t="s">
        <v>0</v>
      </c>
      <c r="C4" s="68" t="s">
        <v>32</v>
      </c>
      <c r="D4" s="68" t="s">
        <v>33</v>
      </c>
      <c r="E4" s="68" t="s">
        <v>34</v>
      </c>
      <c r="F4" s="83" t="s">
        <v>1</v>
      </c>
      <c r="G4" s="83" t="s">
        <v>2</v>
      </c>
      <c r="H4" s="84" t="s">
        <v>3</v>
      </c>
    </row>
    <row r="5" spans="1:11" ht="21.9" customHeight="1" x14ac:dyDescent="0.25">
      <c r="A5" s="153"/>
      <c r="B5" s="69" t="s">
        <v>22</v>
      </c>
      <c r="C5" s="147"/>
      <c r="D5" s="154"/>
      <c r="E5" s="154"/>
      <c r="F5" s="149" t="s">
        <v>35</v>
      </c>
      <c r="G5" s="149"/>
      <c r="H5" s="85">
        <v>200</v>
      </c>
    </row>
    <row r="6" spans="1:11" ht="69.599999999999994" customHeight="1" x14ac:dyDescent="0.25">
      <c r="A6" s="70" t="s">
        <v>36</v>
      </c>
      <c r="B6" s="71" t="s">
        <v>145</v>
      </c>
      <c r="C6" s="72" t="s">
        <v>146</v>
      </c>
      <c r="D6" s="72" t="s">
        <v>168</v>
      </c>
      <c r="E6" s="72" t="s">
        <v>147</v>
      </c>
      <c r="F6" s="47">
        <v>50</v>
      </c>
      <c r="G6" s="47">
        <v>100</v>
      </c>
      <c r="H6" s="48">
        <v>200</v>
      </c>
      <c r="I6" s="44" t="str">
        <f>'Data Entry'!H6</f>
        <v/>
      </c>
      <c r="J6" s="44" t="str">
        <f>'Data Entry'!I6</f>
        <v/>
      </c>
      <c r="K6" s="44" t="str">
        <f>'Data Entry'!J6</f>
        <v/>
      </c>
    </row>
    <row r="7" spans="1:11" ht="21.9" customHeight="1" x14ac:dyDescent="0.25">
      <c r="A7" s="73" t="s">
        <v>37</v>
      </c>
      <c r="B7" s="69" t="s">
        <v>23</v>
      </c>
      <c r="C7" s="147"/>
      <c r="D7" s="148"/>
      <c r="E7" s="148"/>
      <c r="F7" s="149" t="s">
        <v>35</v>
      </c>
      <c r="G7" s="149"/>
      <c r="H7" s="85">
        <v>500</v>
      </c>
    </row>
    <row r="8" spans="1:11" ht="79.2" x14ac:dyDescent="0.25">
      <c r="A8" s="70" t="s">
        <v>38</v>
      </c>
      <c r="B8" s="74" t="s">
        <v>182</v>
      </c>
      <c r="C8" s="75" t="s">
        <v>148</v>
      </c>
      <c r="D8" s="72" t="s">
        <v>169</v>
      </c>
      <c r="E8" s="72" t="s">
        <v>167</v>
      </c>
      <c r="F8" s="47">
        <v>50</v>
      </c>
      <c r="G8" s="47">
        <v>100</v>
      </c>
      <c r="H8" s="48">
        <v>200</v>
      </c>
      <c r="I8" s="44" t="str">
        <f>'Data Entry'!H18</f>
        <v/>
      </c>
      <c r="J8" s="44" t="str">
        <f>'Data Entry'!I18</f>
        <v/>
      </c>
      <c r="K8" s="44" t="str">
        <f>'Data Entry'!J18</f>
        <v/>
      </c>
    </row>
    <row r="9" spans="1:11" ht="55.65" customHeight="1" x14ac:dyDescent="0.25">
      <c r="A9" s="70" t="s">
        <v>39</v>
      </c>
      <c r="B9" s="76" t="s">
        <v>183</v>
      </c>
      <c r="C9" s="75" t="s">
        <v>166</v>
      </c>
      <c r="D9" s="72" t="s">
        <v>165</v>
      </c>
      <c r="E9" s="72" t="s">
        <v>164</v>
      </c>
      <c r="F9" s="47">
        <v>50</v>
      </c>
      <c r="G9" s="47">
        <v>100</v>
      </c>
      <c r="H9" s="48">
        <v>200</v>
      </c>
      <c r="I9" s="44" t="str">
        <f>'Data Entry'!H33</f>
        <v/>
      </c>
      <c r="J9" s="44" t="str">
        <f>'Data Entry'!I33</f>
        <v/>
      </c>
      <c r="K9" s="44" t="str">
        <f>'Data Entry'!J33</f>
        <v/>
      </c>
    </row>
    <row r="10" spans="1:11" ht="58.65" customHeight="1" x14ac:dyDescent="0.25">
      <c r="A10" s="70" t="s">
        <v>40</v>
      </c>
      <c r="B10" s="77" t="s">
        <v>149</v>
      </c>
      <c r="C10" s="72" t="s">
        <v>150</v>
      </c>
      <c r="D10" s="72" t="s">
        <v>170</v>
      </c>
      <c r="E10" s="72" t="s">
        <v>163</v>
      </c>
      <c r="F10" s="47">
        <v>25</v>
      </c>
      <c r="G10" s="47">
        <v>50</v>
      </c>
      <c r="H10" s="48">
        <v>100</v>
      </c>
      <c r="I10" s="44" t="str">
        <f>'Data Entry'!H40</f>
        <v/>
      </c>
      <c r="J10" s="44" t="str">
        <f>'Data Entry'!I40</f>
        <v/>
      </c>
      <c r="K10" s="44" t="str">
        <f>'Data Entry'!J40</f>
        <v/>
      </c>
    </row>
    <row r="11" spans="1:11" ht="21.9" customHeight="1" x14ac:dyDescent="0.25">
      <c r="A11" s="73" t="s">
        <v>37</v>
      </c>
      <c r="B11" s="69" t="s">
        <v>25</v>
      </c>
      <c r="C11" s="147"/>
      <c r="D11" s="148"/>
      <c r="E11" s="148"/>
      <c r="F11" s="149" t="s">
        <v>35</v>
      </c>
      <c r="G11" s="149"/>
      <c r="H11" s="86">
        <v>900</v>
      </c>
    </row>
    <row r="12" spans="1:11" ht="46.35" customHeight="1" x14ac:dyDescent="0.25">
      <c r="A12" s="70" t="s">
        <v>41</v>
      </c>
      <c r="B12" s="71" t="s">
        <v>195</v>
      </c>
      <c r="C12" s="75" t="s">
        <v>172</v>
      </c>
      <c r="D12" s="75" t="s">
        <v>171</v>
      </c>
      <c r="E12" s="75" t="s">
        <v>173</v>
      </c>
      <c r="F12" s="47">
        <v>50</v>
      </c>
      <c r="G12" s="47">
        <v>100</v>
      </c>
      <c r="H12" s="48">
        <v>200</v>
      </c>
      <c r="I12" s="44" t="str">
        <f>'Data Entry'!H47</f>
        <v/>
      </c>
      <c r="J12" s="44" t="str">
        <f>'Data Entry'!I47</f>
        <v/>
      </c>
      <c r="K12" s="44" t="str">
        <f>'Data Entry'!J47</f>
        <v/>
      </c>
    </row>
    <row r="13" spans="1:11" ht="52.8" x14ac:dyDescent="0.25">
      <c r="A13" s="70" t="s">
        <v>42</v>
      </c>
      <c r="B13" s="78" t="s">
        <v>194</v>
      </c>
      <c r="C13" s="75" t="s">
        <v>179</v>
      </c>
      <c r="D13" s="72" t="s">
        <v>178</v>
      </c>
      <c r="E13" s="72" t="s">
        <v>159</v>
      </c>
      <c r="F13" s="47">
        <v>50</v>
      </c>
      <c r="G13" s="47">
        <v>100</v>
      </c>
      <c r="H13" s="48">
        <v>200</v>
      </c>
      <c r="I13" s="44" t="str">
        <f>'Data Entry'!H52</f>
        <v/>
      </c>
      <c r="J13" s="44" t="str">
        <f>'Data Entry'!I52</f>
        <v/>
      </c>
      <c r="K13" s="44" t="str">
        <f>'Data Entry'!J52</f>
        <v/>
      </c>
    </row>
    <row r="14" spans="1:11" ht="44.1" customHeight="1" x14ac:dyDescent="0.25">
      <c r="A14" s="70" t="s">
        <v>43</v>
      </c>
      <c r="B14" s="78" t="s">
        <v>191</v>
      </c>
      <c r="C14" s="75" t="s">
        <v>177</v>
      </c>
      <c r="D14" s="72" t="s">
        <v>151</v>
      </c>
      <c r="E14" s="72" t="s">
        <v>160</v>
      </c>
      <c r="F14" s="47">
        <v>50</v>
      </c>
      <c r="G14" s="47">
        <v>100</v>
      </c>
      <c r="H14" s="48">
        <v>200</v>
      </c>
      <c r="I14" s="44" t="str">
        <f>'Data Entry'!H64</f>
        <v/>
      </c>
      <c r="J14" s="44" t="str">
        <f>'Data Entry'!I64</f>
        <v/>
      </c>
      <c r="K14" s="44" t="str">
        <f>'Data Entry'!J64</f>
        <v/>
      </c>
    </row>
    <row r="15" spans="1:11" ht="52.8" x14ac:dyDescent="0.25">
      <c r="A15" s="70" t="s">
        <v>44</v>
      </c>
      <c r="B15" s="71" t="s">
        <v>180</v>
      </c>
      <c r="C15" s="75" t="s">
        <v>153</v>
      </c>
      <c r="D15" s="75" t="s">
        <v>152</v>
      </c>
      <c r="E15" s="75" t="s">
        <v>161</v>
      </c>
      <c r="F15" s="47">
        <v>25</v>
      </c>
      <c r="G15" s="47">
        <v>50</v>
      </c>
      <c r="H15" s="48">
        <v>100</v>
      </c>
      <c r="I15" s="44" t="str">
        <f>'Data Entry'!H69</f>
        <v/>
      </c>
      <c r="J15" s="44" t="str">
        <f>'Data Entry'!I69</f>
        <v/>
      </c>
      <c r="K15" s="44" t="str">
        <f>'Data Entry'!J69</f>
        <v/>
      </c>
    </row>
    <row r="16" spans="1:11" ht="80.099999999999994" customHeight="1" x14ac:dyDescent="0.25">
      <c r="A16" s="70" t="s">
        <v>45</v>
      </c>
      <c r="B16" s="78" t="s">
        <v>193</v>
      </c>
      <c r="C16" s="75" t="s">
        <v>154</v>
      </c>
      <c r="D16" s="72" t="s">
        <v>155</v>
      </c>
      <c r="E16" s="72" t="s">
        <v>162</v>
      </c>
      <c r="F16" s="47">
        <v>50</v>
      </c>
      <c r="G16" s="47">
        <v>100</v>
      </c>
      <c r="H16" s="48">
        <v>200</v>
      </c>
      <c r="I16" s="44" t="str">
        <f>'Data Entry'!H79</f>
        <v/>
      </c>
      <c r="J16" s="44" t="str">
        <f>'Data Entry'!I79</f>
        <v/>
      </c>
      <c r="K16" s="44" t="str">
        <f>'Data Entry'!J79</f>
        <v/>
      </c>
    </row>
    <row r="17" spans="1:11" ht="21.75" customHeight="1" x14ac:dyDescent="0.25">
      <c r="A17" s="73" t="s">
        <v>37</v>
      </c>
      <c r="B17" s="69" t="s">
        <v>46</v>
      </c>
      <c r="C17" s="147"/>
      <c r="D17" s="148"/>
      <c r="E17" s="148"/>
      <c r="F17" s="149" t="s">
        <v>35</v>
      </c>
      <c r="G17" s="149"/>
      <c r="H17" s="85">
        <v>400</v>
      </c>
    </row>
    <row r="18" spans="1:11" ht="66" x14ac:dyDescent="0.25">
      <c r="A18" s="70" t="s">
        <v>47</v>
      </c>
      <c r="B18" s="71" t="s">
        <v>181</v>
      </c>
      <c r="C18" s="75" t="s">
        <v>156</v>
      </c>
      <c r="D18" s="75" t="s">
        <v>157</v>
      </c>
      <c r="E18" s="75" t="s">
        <v>158</v>
      </c>
      <c r="F18" s="47">
        <v>50</v>
      </c>
      <c r="G18" s="47">
        <v>100</v>
      </c>
      <c r="H18" s="48">
        <v>200</v>
      </c>
      <c r="I18" s="44" t="str">
        <f>'Data Entry'!H98</f>
        <v/>
      </c>
      <c r="J18" s="44" t="str">
        <f>'Data Entry'!I98</f>
        <v/>
      </c>
      <c r="K18" s="44" t="str">
        <f>'Data Entry'!J98</f>
        <v/>
      </c>
    </row>
    <row r="19" spans="1:11" ht="106.65" customHeight="1" thickBot="1" x14ac:dyDescent="0.3">
      <c r="A19" s="79" t="s">
        <v>48</v>
      </c>
      <c r="B19" s="80" t="s">
        <v>192</v>
      </c>
      <c r="C19" s="81" t="s">
        <v>174</v>
      </c>
      <c r="D19" s="82" t="s">
        <v>175</v>
      </c>
      <c r="E19" s="82" t="s">
        <v>176</v>
      </c>
      <c r="F19" s="49">
        <v>50</v>
      </c>
      <c r="G19" s="49">
        <v>100</v>
      </c>
      <c r="H19" s="50">
        <v>200</v>
      </c>
      <c r="I19" s="44" t="str">
        <f>'Data Entry'!H108</f>
        <v/>
      </c>
      <c r="J19" s="44" t="str">
        <f>'Data Entry'!I108</f>
        <v/>
      </c>
      <c r="K19" s="44" t="str">
        <f>'Data Entry'!J108</f>
        <v/>
      </c>
    </row>
    <row r="20" spans="1:11" ht="23.1" customHeight="1" x14ac:dyDescent="0.25">
      <c r="E20" s="51"/>
    </row>
    <row r="21" spans="1:11" ht="19.350000000000001" customHeight="1" thickBot="1" x14ac:dyDescent="0.3">
      <c r="A21" s="52" t="str">
        <f>IF('Data Entry'!D120=1,"ý","o")</f>
        <v>o</v>
      </c>
      <c r="B21" s="53" t="s">
        <v>50</v>
      </c>
      <c r="C21" s="54"/>
      <c r="E21" s="55" t="s">
        <v>51</v>
      </c>
      <c r="H21" s="56">
        <f>'Data Entry'!J120</f>
        <v>0</v>
      </c>
    </row>
    <row r="22" spans="1:11" ht="19.350000000000001" customHeight="1" x14ac:dyDescent="0.25">
      <c r="A22" s="52" t="str">
        <f>IF('Data Entry'!D120=11,"ý","o")</f>
        <v>o</v>
      </c>
      <c r="B22" s="53" t="s">
        <v>60</v>
      </c>
      <c r="C22" s="54"/>
      <c r="E22" s="55"/>
    </row>
    <row r="23" spans="1:11" ht="19.350000000000001" customHeight="1" thickBot="1" x14ac:dyDescent="0.3">
      <c r="A23" s="52" t="str">
        <f>IF('Data Entry'!D120=111,"ý","o")</f>
        <v>o</v>
      </c>
      <c r="B23" s="53" t="s">
        <v>116</v>
      </c>
      <c r="C23" s="54"/>
      <c r="D23" s="54"/>
      <c r="E23" s="55" t="s">
        <v>52</v>
      </c>
      <c r="H23" s="57">
        <f>'Data Entry'!J122</f>
        <v>0</v>
      </c>
    </row>
    <row r="24" spans="1:11" ht="19.350000000000001" customHeight="1" x14ac:dyDescent="0.25">
      <c r="A24" s="58"/>
      <c r="E24" s="55"/>
      <c r="F24" s="55"/>
      <c r="G24" s="55"/>
      <c r="H24" s="55"/>
    </row>
    <row r="25" spans="1:11" ht="19.350000000000001" customHeight="1" x14ac:dyDescent="0.25">
      <c r="A25" s="59" t="s">
        <v>49</v>
      </c>
      <c r="B25" s="60" t="s">
        <v>104</v>
      </c>
    </row>
    <row r="26" spans="1:11" ht="14.25" customHeight="1" x14ac:dyDescent="0.25">
      <c r="A26" s="58"/>
    </row>
    <row r="27" spans="1:11" ht="12.75" customHeight="1" x14ac:dyDescent="0.25">
      <c r="A27" s="59" t="s">
        <v>49</v>
      </c>
      <c r="B27" s="61" t="s">
        <v>53</v>
      </c>
      <c r="C27" s="44"/>
    </row>
    <row r="28" spans="1:11" ht="29.85" customHeight="1" x14ac:dyDescent="0.25">
      <c r="C28" s="44"/>
    </row>
    <row r="29" spans="1:11" x14ac:dyDescent="0.25">
      <c r="B29" s="62" t="s">
        <v>103</v>
      </c>
      <c r="C29" s="44"/>
      <c r="D29" s="62" t="s">
        <v>54</v>
      </c>
    </row>
    <row r="30" spans="1:11" ht="21.6" customHeight="1" x14ac:dyDescent="0.25">
      <c r="B30" s="62"/>
      <c r="C30" s="44"/>
    </row>
    <row r="31" spans="1:11" x14ac:dyDescent="0.25">
      <c r="B31" s="62" t="s">
        <v>55</v>
      </c>
      <c r="C31" s="44"/>
      <c r="D31" s="62" t="s">
        <v>54</v>
      </c>
    </row>
    <row r="32" spans="1:11" ht="21.6" customHeight="1" x14ac:dyDescent="0.25">
      <c r="C32" s="44"/>
    </row>
    <row r="33" spans="1:4" x14ac:dyDescent="0.25">
      <c r="B33" s="62" t="s">
        <v>56</v>
      </c>
      <c r="C33" s="44"/>
      <c r="D33" s="62" t="s">
        <v>54</v>
      </c>
    </row>
    <row r="34" spans="1:4" ht="21.6" customHeight="1" x14ac:dyDescent="0.25">
      <c r="A34" s="46"/>
      <c r="C34" s="44"/>
    </row>
    <row r="35" spans="1:4" x14ac:dyDescent="0.25">
      <c r="A35" s="46"/>
      <c r="B35" s="63" t="s">
        <v>107</v>
      </c>
      <c r="C35" s="44"/>
    </row>
    <row r="36" spans="1:4" ht="18.600000000000001" customHeight="1" x14ac:dyDescent="0.25">
      <c r="A36" s="46"/>
      <c r="B36" s="63"/>
      <c r="C36" s="44"/>
    </row>
    <row r="37" spans="1:4" x14ac:dyDescent="0.25">
      <c r="B37" s="64"/>
    </row>
    <row r="38" spans="1:4" x14ac:dyDescent="0.25">
      <c r="B38" s="64"/>
    </row>
  </sheetData>
  <sheetProtection algorithmName="SHA-512" hashValue="b/QHcAuTuFHCLsLSvfXQoAEl3ijupimmhhQik4kyW6l+zAFW3EFgfyWeXfH761Dylaegg0L2VFscSKYA5iOPJA==" saltValue="17aAXZST0f+G/5VR1eTYnA==" spinCount="100000" sheet="1" selectLockedCells="1" selectUnlockedCells="1"/>
  <mergeCells count="12">
    <mergeCell ref="C11:E11"/>
    <mergeCell ref="F11:G11"/>
    <mergeCell ref="C17:E17"/>
    <mergeCell ref="F17:G17"/>
    <mergeCell ref="A1:H1"/>
    <mergeCell ref="A2:H2"/>
    <mergeCell ref="A4:A5"/>
    <mergeCell ref="C5:E5"/>
    <mergeCell ref="F5:G5"/>
    <mergeCell ref="C7:E7"/>
    <mergeCell ref="A3:H3"/>
    <mergeCell ref="F7:G7"/>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60" orientation="portrait" horizontalDpi="4294967293" verticalDpi="4294967293" r:id="rId1"/>
  <headerFooter alignWithMargins="0">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E61A83268FE54289CF6F3DAC4CA05D" ma:contentTypeVersion="16" ma:contentTypeDescription="Create a new document." ma:contentTypeScope="" ma:versionID="2737221c24b14d54bb2b7b3ed2f65d13">
  <xsd:schema xmlns:xsd="http://www.w3.org/2001/XMLSchema" xmlns:xs="http://www.w3.org/2001/XMLSchema" xmlns:p="http://schemas.microsoft.com/office/2006/metadata/properties" xmlns:ns2="8395808e-80b1-4048-9d30-1a221d4e3242" xmlns:ns3="5f11bd22-2d89-4471-87bf-b9ec960c2064" targetNamespace="http://schemas.microsoft.com/office/2006/metadata/properties" ma:root="true" ma:fieldsID="2258c0880c06bcd06f5ef3b97a9bfa29" ns2:_="" ns3:_="">
    <xsd:import namespace="8395808e-80b1-4048-9d30-1a221d4e3242"/>
    <xsd:import namespace="5f11bd22-2d89-4471-87bf-b9ec960c20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5808e-80b1-4048-9d30-1a221d4e32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7fd861b-7d51-4ce6-bd10-4c8b0db64d51}" ma:internalName="TaxCatchAll" ma:showField="CatchAllData" ma:web="8395808e-80b1-4048-9d30-1a221d4e32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11bd22-2d89-4471-87bf-b9ec960c206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9308d4-bde5-4dca-adcb-0162404f863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395808e-80b1-4048-9d30-1a221d4e3242" xsi:nil="true"/>
    <lcf76f155ced4ddcb4097134ff3c332f xmlns="5f11bd22-2d89-4471-87bf-b9ec960c206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F798FAA-8963-446F-8E8D-137C0C02A36E}">
  <ds:schemaRefs>
    <ds:schemaRef ds:uri="http://schemas.microsoft.com/sharepoint/v3/contenttype/forms"/>
  </ds:schemaRefs>
</ds:datastoreItem>
</file>

<file path=customXml/itemProps2.xml><?xml version="1.0" encoding="utf-8"?>
<ds:datastoreItem xmlns:ds="http://schemas.openxmlformats.org/officeDocument/2006/customXml" ds:itemID="{1A6F3756-03DF-43CC-AE48-BEAB06D15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95808e-80b1-4048-9d30-1a221d4e3242"/>
    <ds:schemaRef ds:uri="5f11bd22-2d89-4471-87bf-b9ec960c20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5F7EDA-9DEE-44D8-B368-511DC58831E2}">
  <ds:schemaRefs>
    <ds:schemaRef ds:uri="http://schemas.microsoft.com/office/2006/metadata/properties"/>
    <ds:schemaRef ds:uri="http://schemas.microsoft.com/office/infopath/2007/PartnerControls"/>
    <ds:schemaRef ds:uri="8395808e-80b1-4048-9d30-1a221d4e3242"/>
    <ds:schemaRef ds:uri="5f11bd22-2d89-4471-87bf-b9ec960c2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Setup &amp; Instructions</vt:lpstr>
      <vt:lpstr>Data Entry</vt:lpstr>
      <vt:lpstr>Scorecard</vt:lpstr>
      <vt:lpstr>adds</vt:lpstr>
      <vt:lpstr>beascout_flag</vt:lpstr>
      <vt:lpstr>bronze_met</vt:lpstr>
      <vt:lpstr>build_bronze_score</vt:lpstr>
      <vt:lpstr>build_gold_points</vt:lpstr>
      <vt:lpstr>build_gold_score</vt:lpstr>
      <vt:lpstr>build_silver_points</vt:lpstr>
      <vt:lpstr>build_silver_score</vt:lpstr>
      <vt:lpstr>DistrictName</vt:lpstr>
      <vt:lpstr>drops</vt:lpstr>
      <vt:lpstr>gain</vt:lpstr>
      <vt:lpstr>gold_auto_score</vt:lpstr>
      <vt:lpstr>num_scouts</vt:lpstr>
      <vt:lpstr>'Data Entry'!Print_Titles</vt:lpstr>
      <vt:lpstr>RECHARTER_CALC</vt:lpstr>
      <vt:lpstr>recruitment_event</vt:lpstr>
      <vt:lpstr>silver_auto_score</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Troop JTE Spreadsheet v20210426</dc:title>
  <dc:creator>Frederick Hillenbrand</dc:creator>
  <cp:lastModifiedBy>Lisa Satayut</cp:lastModifiedBy>
  <cp:lastPrinted>2022-08-14T17:16:49Z</cp:lastPrinted>
  <dcterms:created xsi:type="dcterms:W3CDTF">2014-08-26T17:24:57Z</dcterms:created>
  <dcterms:modified xsi:type="dcterms:W3CDTF">2022-10-10T16:39:25Z</dcterms:modified>
  <cp:contentStatus>v20210426</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0x01010011E61A83268FE54289CF6F3DAC4CA05D</vt:lpwstr>
  </property>
</Properties>
</file>